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DKPDX\Documents\rahabs 201612\"/>
    </mc:Choice>
  </mc:AlternateContent>
  <bookViews>
    <workbookView xWindow="0" yWindow="0" windowWidth="11724" windowHeight="5184"/>
  </bookViews>
  <sheets>
    <sheet name="Budget vs. Actuals" sheetId="1" r:id="rId1"/>
  </sheets>
  <calcPr calcId="171027"/>
</workbook>
</file>

<file path=xl/calcChain.xml><?xml version="1.0" encoding="utf-8"?>
<calcChain xmlns="http://schemas.openxmlformats.org/spreadsheetml/2006/main">
  <c r="C132" i="1" l="1"/>
  <c r="B132" i="1"/>
  <c r="D132" i="1" s="1"/>
  <c r="C131" i="1"/>
  <c r="E131" i="1" s="1"/>
  <c r="B131" i="1"/>
  <c r="D131" i="1" s="1"/>
  <c r="G130" i="1"/>
  <c r="F130" i="1"/>
  <c r="E130" i="1"/>
  <c r="D130" i="1"/>
  <c r="C128" i="1"/>
  <c r="B128" i="1"/>
  <c r="C127" i="1"/>
  <c r="E127" i="1" s="1"/>
  <c r="B127" i="1"/>
  <c r="D127" i="1" s="1"/>
  <c r="G123" i="1"/>
  <c r="F123" i="1"/>
  <c r="B123" i="1"/>
  <c r="D123" i="1" s="1"/>
  <c r="G122" i="1"/>
  <c r="F122" i="1"/>
  <c r="B122" i="1"/>
  <c r="D122" i="1" s="1"/>
  <c r="C120" i="1"/>
  <c r="C119" i="1"/>
  <c r="F119" i="1" s="1"/>
  <c r="B119" i="1"/>
  <c r="D119" i="1" s="1"/>
  <c r="F118" i="1"/>
  <c r="E118" i="1"/>
  <c r="G118" i="1" s="1"/>
  <c r="C118" i="1"/>
  <c r="B118" i="1"/>
  <c r="D118" i="1" s="1"/>
  <c r="C117" i="1"/>
  <c r="B117" i="1"/>
  <c r="C115" i="1"/>
  <c r="D115" i="1" s="1"/>
  <c r="F114" i="1"/>
  <c r="E114" i="1"/>
  <c r="G114" i="1" s="1"/>
  <c r="D114" i="1"/>
  <c r="C114" i="1"/>
  <c r="B114" i="1"/>
  <c r="C113" i="1"/>
  <c r="B113" i="1"/>
  <c r="B116" i="1" s="1"/>
  <c r="C112" i="1"/>
  <c r="E112" i="1" s="1"/>
  <c r="B112" i="1"/>
  <c r="D112" i="1" s="1"/>
  <c r="G111" i="1"/>
  <c r="F111" i="1"/>
  <c r="B111" i="1"/>
  <c r="E111" i="1" s="1"/>
  <c r="G110" i="1"/>
  <c r="F110" i="1"/>
  <c r="E110" i="1"/>
  <c r="D110" i="1"/>
  <c r="C109" i="1"/>
  <c r="F109" i="1" s="1"/>
  <c r="B109" i="1"/>
  <c r="D109" i="1" s="1"/>
  <c r="F108" i="1"/>
  <c r="E108" i="1"/>
  <c r="G108" i="1" s="1"/>
  <c r="C108" i="1"/>
  <c r="B108" i="1"/>
  <c r="D108" i="1" s="1"/>
  <c r="C107" i="1"/>
  <c r="B107" i="1"/>
  <c r="G106" i="1"/>
  <c r="F106" i="1"/>
  <c r="E106" i="1"/>
  <c r="D106" i="1"/>
  <c r="G104" i="1"/>
  <c r="F104" i="1"/>
  <c r="B104" i="1"/>
  <c r="D104" i="1" s="1"/>
  <c r="C103" i="1"/>
  <c r="E103" i="1" s="1"/>
  <c r="B103" i="1"/>
  <c r="D103" i="1" s="1"/>
  <c r="F102" i="1"/>
  <c r="C102" i="1"/>
  <c r="E102" i="1" s="1"/>
  <c r="G102" i="1" s="1"/>
  <c r="B102" i="1"/>
  <c r="D102" i="1" s="1"/>
  <c r="F101" i="1"/>
  <c r="E101" i="1"/>
  <c r="G101" i="1" s="1"/>
  <c r="D101" i="1"/>
  <c r="C101" i="1"/>
  <c r="B101" i="1"/>
  <c r="C100" i="1"/>
  <c r="F98" i="1"/>
  <c r="E98" i="1"/>
  <c r="G98" i="1" s="1"/>
  <c r="C98" i="1"/>
  <c r="B98" i="1"/>
  <c r="D98" i="1" s="1"/>
  <c r="C97" i="1"/>
  <c r="E97" i="1" s="1"/>
  <c r="G96" i="1"/>
  <c r="F96" i="1"/>
  <c r="B96" i="1"/>
  <c r="E96" i="1" s="1"/>
  <c r="G95" i="1"/>
  <c r="F95" i="1"/>
  <c r="E95" i="1"/>
  <c r="D95" i="1"/>
  <c r="G94" i="1"/>
  <c r="F94" i="1"/>
  <c r="B94" i="1"/>
  <c r="E94" i="1" s="1"/>
  <c r="G92" i="1"/>
  <c r="F92" i="1"/>
  <c r="E92" i="1"/>
  <c r="D92" i="1"/>
  <c r="B92" i="1"/>
  <c r="C91" i="1"/>
  <c r="F91" i="1" s="1"/>
  <c r="B91" i="1"/>
  <c r="D91" i="1" s="1"/>
  <c r="G90" i="1"/>
  <c r="E90" i="1"/>
  <c r="D90" i="1"/>
  <c r="C90" i="1"/>
  <c r="F90" i="1" s="1"/>
  <c r="F89" i="1"/>
  <c r="E89" i="1"/>
  <c r="G89" i="1" s="1"/>
  <c r="D89" i="1"/>
  <c r="C89" i="1"/>
  <c r="B89" i="1"/>
  <c r="C88" i="1"/>
  <c r="B88" i="1"/>
  <c r="D88" i="1" s="1"/>
  <c r="C87" i="1"/>
  <c r="E87" i="1" s="1"/>
  <c r="B87" i="1"/>
  <c r="D87" i="1" s="1"/>
  <c r="F86" i="1"/>
  <c r="D86" i="1"/>
  <c r="C86" i="1"/>
  <c r="E86" i="1" s="1"/>
  <c r="G86" i="1" s="1"/>
  <c r="B86" i="1"/>
  <c r="G85" i="1"/>
  <c r="F85" i="1"/>
  <c r="E85" i="1"/>
  <c r="D85" i="1"/>
  <c r="B85" i="1"/>
  <c r="C84" i="1"/>
  <c r="F84" i="1" s="1"/>
  <c r="B84" i="1"/>
  <c r="D84" i="1" s="1"/>
  <c r="C83" i="1"/>
  <c r="F83" i="1" s="1"/>
  <c r="B83" i="1"/>
  <c r="D83" i="1" s="1"/>
  <c r="F82" i="1"/>
  <c r="E82" i="1"/>
  <c r="G82" i="1" s="1"/>
  <c r="C82" i="1"/>
  <c r="B82" i="1"/>
  <c r="D82" i="1" s="1"/>
  <c r="C81" i="1"/>
  <c r="C80" i="1"/>
  <c r="F80" i="1" s="1"/>
  <c r="F79" i="1"/>
  <c r="D79" i="1"/>
  <c r="C79" i="1"/>
  <c r="E79" i="1" s="1"/>
  <c r="G79" i="1" s="1"/>
  <c r="B79" i="1"/>
  <c r="B81" i="1" s="1"/>
  <c r="D81" i="1" s="1"/>
  <c r="G78" i="1"/>
  <c r="F78" i="1"/>
  <c r="E78" i="1"/>
  <c r="D78" i="1"/>
  <c r="C77" i="1"/>
  <c r="C93" i="1" s="1"/>
  <c r="B77" i="1"/>
  <c r="G76" i="1"/>
  <c r="F76" i="1"/>
  <c r="E76" i="1"/>
  <c r="D76" i="1"/>
  <c r="C75" i="1"/>
  <c r="B75" i="1"/>
  <c r="D75" i="1" s="1"/>
  <c r="C74" i="1"/>
  <c r="E74" i="1" s="1"/>
  <c r="B74" i="1"/>
  <c r="D74" i="1" s="1"/>
  <c r="F73" i="1"/>
  <c r="D73" i="1"/>
  <c r="C73" i="1"/>
  <c r="E73" i="1" s="1"/>
  <c r="G73" i="1" s="1"/>
  <c r="B73" i="1"/>
  <c r="G72" i="1"/>
  <c r="F72" i="1"/>
  <c r="E72" i="1"/>
  <c r="D72" i="1"/>
  <c r="C71" i="1"/>
  <c r="E71" i="1" s="1"/>
  <c r="B71" i="1"/>
  <c r="D71" i="1" s="1"/>
  <c r="F70" i="1"/>
  <c r="D70" i="1"/>
  <c r="C70" i="1"/>
  <c r="E70" i="1" s="1"/>
  <c r="G70" i="1" s="1"/>
  <c r="B70" i="1"/>
  <c r="G69" i="1"/>
  <c r="F69" i="1"/>
  <c r="E69" i="1"/>
  <c r="D69" i="1"/>
  <c r="F66" i="1"/>
  <c r="E66" i="1"/>
  <c r="G66" i="1" s="1"/>
  <c r="D66" i="1"/>
  <c r="C66" i="1"/>
  <c r="B66" i="1"/>
  <c r="C65" i="1"/>
  <c r="C64" i="1"/>
  <c r="F64" i="1" s="1"/>
  <c r="B64" i="1"/>
  <c r="D64" i="1" s="1"/>
  <c r="F63" i="1"/>
  <c r="E63" i="1"/>
  <c r="G63" i="1" s="1"/>
  <c r="C63" i="1"/>
  <c r="C67" i="1" s="1"/>
  <c r="B63" i="1"/>
  <c r="D63" i="1" s="1"/>
  <c r="G62" i="1"/>
  <c r="F62" i="1"/>
  <c r="B62" i="1"/>
  <c r="B67" i="1" s="1"/>
  <c r="C61" i="1"/>
  <c r="E61" i="1" s="1"/>
  <c r="B61" i="1"/>
  <c r="D61" i="1" s="1"/>
  <c r="F60" i="1"/>
  <c r="D60" i="1"/>
  <c r="C60" i="1"/>
  <c r="E60" i="1" s="1"/>
  <c r="G60" i="1" s="1"/>
  <c r="B60" i="1"/>
  <c r="F59" i="1"/>
  <c r="E59" i="1"/>
  <c r="G59" i="1" s="1"/>
  <c r="D59" i="1"/>
  <c r="C59" i="1"/>
  <c r="B59" i="1"/>
  <c r="C58" i="1"/>
  <c r="B58" i="1"/>
  <c r="D58" i="1" s="1"/>
  <c r="G57" i="1"/>
  <c r="F57" i="1"/>
  <c r="E57" i="1"/>
  <c r="D57" i="1"/>
  <c r="G53" i="1"/>
  <c r="F53" i="1"/>
  <c r="B53" i="1"/>
  <c r="E53" i="1" s="1"/>
  <c r="G51" i="1"/>
  <c r="F51" i="1"/>
  <c r="B51" i="1"/>
  <c r="E51" i="1" s="1"/>
  <c r="C50" i="1"/>
  <c r="E50" i="1" s="1"/>
  <c r="B50" i="1"/>
  <c r="D50" i="1" s="1"/>
  <c r="F49" i="1"/>
  <c r="D49" i="1"/>
  <c r="C49" i="1"/>
  <c r="E49" i="1" s="1"/>
  <c r="G49" i="1" s="1"/>
  <c r="B49" i="1"/>
  <c r="F48" i="1"/>
  <c r="E48" i="1"/>
  <c r="G48" i="1" s="1"/>
  <c r="D48" i="1"/>
  <c r="C48" i="1"/>
  <c r="B48" i="1"/>
  <c r="C47" i="1"/>
  <c r="F45" i="1"/>
  <c r="E45" i="1"/>
  <c r="G45" i="1" s="1"/>
  <c r="C45" i="1"/>
  <c r="B45" i="1"/>
  <c r="D45" i="1" s="1"/>
  <c r="C44" i="1"/>
  <c r="D44" i="1" s="1"/>
  <c r="G43" i="1"/>
  <c r="F43" i="1"/>
  <c r="B43" i="1"/>
  <c r="E43" i="1" s="1"/>
  <c r="G42" i="1"/>
  <c r="F42" i="1"/>
  <c r="E42" i="1"/>
  <c r="D42" i="1"/>
  <c r="G39" i="1"/>
  <c r="F39" i="1"/>
  <c r="E39" i="1"/>
  <c r="B39" i="1"/>
  <c r="D39" i="1" s="1"/>
  <c r="C38" i="1"/>
  <c r="B38" i="1"/>
  <c r="B40" i="1" s="1"/>
  <c r="F36" i="1"/>
  <c r="D36" i="1"/>
  <c r="C36" i="1"/>
  <c r="E36" i="1" s="1"/>
  <c r="G36" i="1" s="1"/>
  <c r="C35" i="1"/>
  <c r="B35" i="1"/>
  <c r="G34" i="1"/>
  <c r="F34" i="1"/>
  <c r="B34" i="1"/>
  <c r="E34" i="1" s="1"/>
  <c r="F33" i="1"/>
  <c r="D33" i="1"/>
  <c r="C33" i="1"/>
  <c r="E33" i="1" s="1"/>
  <c r="G33" i="1" s="1"/>
  <c r="B33" i="1"/>
  <c r="F32" i="1"/>
  <c r="E32" i="1"/>
  <c r="G32" i="1" s="1"/>
  <c r="D32" i="1"/>
  <c r="C32" i="1"/>
  <c r="B32" i="1"/>
  <c r="G31" i="1"/>
  <c r="F31" i="1"/>
  <c r="B31" i="1"/>
  <c r="B37" i="1" s="1"/>
  <c r="G30" i="1"/>
  <c r="E30" i="1"/>
  <c r="C30" i="1"/>
  <c r="B30" i="1"/>
  <c r="D30" i="1" s="1"/>
  <c r="C28" i="1"/>
  <c r="E28" i="1" s="1"/>
  <c r="B28" i="1"/>
  <c r="C27" i="1"/>
  <c r="F27" i="1" s="1"/>
  <c r="B27" i="1"/>
  <c r="D27" i="1" s="1"/>
  <c r="G26" i="1"/>
  <c r="E26" i="1"/>
  <c r="C26" i="1"/>
  <c r="B26" i="1"/>
  <c r="D26" i="1" s="1"/>
  <c r="F25" i="1"/>
  <c r="E25" i="1"/>
  <c r="G25" i="1" s="1"/>
  <c r="C25" i="1"/>
  <c r="C29" i="1" s="1"/>
  <c r="B25" i="1"/>
  <c r="B29" i="1" s="1"/>
  <c r="G24" i="1"/>
  <c r="F24" i="1"/>
  <c r="E24" i="1"/>
  <c r="D24" i="1"/>
  <c r="G23" i="1"/>
  <c r="F23" i="1"/>
  <c r="E23" i="1"/>
  <c r="D23" i="1"/>
  <c r="C23" i="1"/>
  <c r="G22" i="1"/>
  <c r="F22" i="1"/>
  <c r="E22" i="1"/>
  <c r="D22" i="1"/>
  <c r="B22" i="1"/>
  <c r="G21" i="1"/>
  <c r="F21" i="1"/>
  <c r="E21" i="1"/>
  <c r="D21" i="1"/>
  <c r="C19" i="1"/>
  <c r="B19" i="1"/>
  <c r="G18" i="1"/>
  <c r="F18" i="1"/>
  <c r="B18" i="1"/>
  <c r="B20" i="1" s="1"/>
  <c r="G17" i="1"/>
  <c r="F17" i="1"/>
  <c r="E17" i="1"/>
  <c r="D17" i="1"/>
  <c r="C16" i="1"/>
  <c r="B16" i="1"/>
  <c r="D16" i="1" s="1"/>
  <c r="C15" i="1"/>
  <c r="E15" i="1" s="1"/>
  <c r="B15" i="1"/>
  <c r="D15" i="1" s="1"/>
  <c r="F14" i="1"/>
  <c r="D14" i="1"/>
  <c r="C14" i="1"/>
  <c r="E14" i="1" s="1"/>
  <c r="G14" i="1" s="1"/>
  <c r="B14" i="1"/>
  <c r="G13" i="1"/>
  <c r="F13" i="1"/>
  <c r="E13" i="1"/>
  <c r="D13" i="1"/>
  <c r="F11" i="1"/>
  <c r="D11" i="1"/>
  <c r="C11" i="1"/>
  <c r="E11" i="1" s="1"/>
  <c r="G11" i="1" s="1"/>
  <c r="B11" i="1"/>
  <c r="F10" i="1"/>
  <c r="E10" i="1"/>
  <c r="G10" i="1" s="1"/>
  <c r="D10" i="1"/>
  <c r="C10" i="1"/>
  <c r="B10" i="1"/>
  <c r="C9" i="1"/>
  <c r="B9" i="1"/>
  <c r="D9" i="1" s="1"/>
  <c r="G8" i="1"/>
  <c r="F8" i="1"/>
  <c r="B8" i="1"/>
  <c r="E8" i="1" s="1"/>
  <c r="F29" i="1" l="1"/>
  <c r="E29" i="1"/>
  <c r="G29" i="1"/>
  <c r="D67" i="1"/>
  <c r="B41" i="1"/>
  <c r="D29" i="1"/>
  <c r="D20" i="1"/>
  <c r="B93" i="1"/>
  <c r="D93" i="1" s="1"/>
  <c r="G100" i="1"/>
  <c r="G93" i="1"/>
  <c r="F93" i="1"/>
  <c r="E93" i="1"/>
  <c r="D40" i="1"/>
  <c r="B121" i="1"/>
  <c r="G67" i="1"/>
  <c r="F67" i="1"/>
  <c r="E67" i="1"/>
  <c r="G81" i="1"/>
  <c r="G35" i="1"/>
  <c r="G16" i="1"/>
  <c r="D28" i="1"/>
  <c r="D62" i="1"/>
  <c r="D117" i="1"/>
  <c r="E19" i="1"/>
  <c r="G19" i="1" s="1"/>
  <c r="D38" i="1"/>
  <c r="E44" i="1"/>
  <c r="G44" i="1" s="1"/>
  <c r="D128" i="1"/>
  <c r="C20" i="1"/>
  <c r="F50" i="1"/>
  <c r="F61" i="1"/>
  <c r="E64" i="1"/>
  <c r="G64" i="1" s="1"/>
  <c r="F71" i="1"/>
  <c r="F74" i="1"/>
  <c r="F77" i="1"/>
  <c r="E83" i="1"/>
  <c r="G83" i="1" s="1"/>
  <c r="G84" i="1"/>
  <c r="F87" i="1"/>
  <c r="F103" i="1"/>
  <c r="E109" i="1"/>
  <c r="G109" i="1" s="1"/>
  <c r="D111" i="1"/>
  <c r="F112" i="1"/>
  <c r="E115" i="1"/>
  <c r="G115" i="1" s="1"/>
  <c r="E119" i="1"/>
  <c r="G119" i="1" s="1"/>
  <c r="E122" i="1"/>
  <c r="F127" i="1"/>
  <c r="F131" i="1"/>
  <c r="B133" i="1"/>
  <c r="D107" i="1"/>
  <c r="B12" i="1"/>
  <c r="E35" i="1"/>
  <c r="D65" i="1"/>
  <c r="B68" i="1"/>
  <c r="E104" i="1"/>
  <c r="D113" i="1"/>
  <c r="F15" i="1"/>
  <c r="G15" i="1"/>
  <c r="D25" i="1"/>
  <c r="F26" i="1"/>
  <c r="F30" i="1"/>
  <c r="G50" i="1"/>
  <c r="G61" i="1"/>
  <c r="G71" i="1"/>
  <c r="G74" i="1"/>
  <c r="G77" i="1"/>
  <c r="G87" i="1"/>
  <c r="G103" i="1"/>
  <c r="G112" i="1"/>
  <c r="F115" i="1"/>
  <c r="G127" i="1"/>
  <c r="G131" i="1"/>
  <c r="C133" i="1"/>
  <c r="D51" i="1"/>
  <c r="D31" i="1"/>
  <c r="E62" i="1"/>
  <c r="E81" i="1"/>
  <c r="D100" i="1"/>
  <c r="E107" i="1"/>
  <c r="G107" i="1" s="1"/>
  <c r="E117" i="1"/>
  <c r="G117" i="1" s="1"/>
  <c r="D120" i="1"/>
  <c r="D18" i="1"/>
  <c r="F28" i="1"/>
  <c r="E31" i="1"/>
  <c r="D34" i="1"/>
  <c r="F35" i="1"/>
  <c r="C37" i="1"/>
  <c r="E38" i="1"/>
  <c r="G38" i="1" s="1"/>
  <c r="F44" i="1"/>
  <c r="B46" i="1"/>
  <c r="E47" i="1"/>
  <c r="G47" i="1" s="1"/>
  <c r="E58" i="1"/>
  <c r="G58" i="1" s="1"/>
  <c r="E65" i="1"/>
  <c r="G65" i="1" s="1"/>
  <c r="C68" i="1"/>
  <c r="E75" i="1"/>
  <c r="G75" i="1" s="1"/>
  <c r="D80" i="1"/>
  <c r="F81" i="1"/>
  <c r="E88" i="1"/>
  <c r="G88" i="1" s="1"/>
  <c r="D94" i="1"/>
  <c r="F97" i="1"/>
  <c r="B99" i="1"/>
  <c r="E100" i="1"/>
  <c r="F107" i="1"/>
  <c r="E113" i="1"/>
  <c r="G113" i="1" s="1"/>
  <c r="F117" i="1"/>
  <c r="E120" i="1"/>
  <c r="G120" i="1" s="1"/>
  <c r="E123" i="1"/>
  <c r="E128" i="1"/>
  <c r="G128" i="1" s="1"/>
  <c r="E132" i="1"/>
  <c r="G132" i="1" s="1"/>
  <c r="D19" i="1"/>
  <c r="D35" i="1"/>
  <c r="D47" i="1"/>
  <c r="E16" i="1"/>
  <c r="F19" i="1"/>
  <c r="D8" i="1"/>
  <c r="F9" i="1"/>
  <c r="F16" i="1"/>
  <c r="E18" i="1"/>
  <c r="E27" i="1"/>
  <c r="G27" i="1" s="1"/>
  <c r="G28" i="1"/>
  <c r="F38" i="1"/>
  <c r="C40" i="1"/>
  <c r="D43" i="1"/>
  <c r="C46" i="1"/>
  <c r="F47" i="1"/>
  <c r="D53" i="1"/>
  <c r="F58" i="1"/>
  <c r="F65" i="1"/>
  <c r="F75" i="1"/>
  <c r="D77" i="1"/>
  <c r="E80" i="1"/>
  <c r="G80" i="1" s="1"/>
  <c r="E84" i="1"/>
  <c r="F88" i="1"/>
  <c r="E91" i="1"/>
  <c r="G91" i="1" s="1"/>
  <c r="D96" i="1"/>
  <c r="G97" i="1"/>
  <c r="C99" i="1"/>
  <c r="F100" i="1"/>
  <c r="F113" i="1"/>
  <c r="F120" i="1"/>
  <c r="F128" i="1"/>
  <c r="F132" i="1"/>
  <c r="D97" i="1"/>
  <c r="C116" i="1"/>
  <c r="E9" i="1"/>
  <c r="G9" i="1" s="1"/>
  <c r="C12" i="1"/>
  <c r="E77" i="1"/>
  <c r="F99" i="1" l="1"/>
  <c r="C105" i="1"/>
  <c r="E99" i="1"/>
  <c r="G99" i="1" s="1"/>
  <c r="G40" i="1"/>
  <c r="F40" i="1"/>
  <c r="E40" i="1"/>
  <c r="F116" i="1"/>
  <c r="E116" i="1"/>
  <c r="G116" i="1"/>
  <c r="B52" i="1"/>
  <c r="B54" i="1" s="1"/>
  <c r="D46" i="1"/>
  <c r="D12" i="1"/>
  <c r="E20" i="1"/>
  <c r="G20" i="1" s="1"/>
  <c r="F20" i="1"/>
  <c r="E37" i="1"/>
  <c r="G37" i="1"/>
  <c r="F37" i="1"/>
  <c r="C41" i="1"/>
  <c r="E12" i="1"/>
  <c r="G12" i="1" s="1"/>
  <c r="C54" i="1"/>
  <c r="F12" i="1"/>
  <c r="F46" i="1"/>
  <c r="C52" i="1"/>
  <c r="E46" i="1"/>
  <c r="G46" i="1" s="1"/>
  <c r="E68" i="1"/>
  <c r="G68" i="1" s="1"/>
  <c r="C124" i="1"/>
  <c r="F68" i="1"/>
  <c r="C121" i="1"/>
  <c r="D116" i="1"/>
  <c r="D37" i="1"/>
  <c r="C134" i="1"/>
  <c r="E133" i="1"/>
  <c r="G133" i="1"/>
  <c r="F133" i="1"/>
  <c r="B134" i="1"/>
  <c r="D133" i="1"/>
  <c r="B105" i="1"/>
  <c r="D105" i="1" s="1"/>
  <c r="D99" i="1"/>
  <c r="D68" i="1"/>
  <c r="B124" i="1"/>
  <c r="D121" i="1"/>
  <c r="D54" i="1" l="1"/>
  <c r="B55" i="1"/>
  <c r="D124" i="1"/>
  <c r="G54" i="1"/>
  <c r="F54" i="1"/>
  <c r="E54" i="1"/>
  <c r="C55" i="1"/>
  <c r="F134" i="1"/>
  <c r="E134" i="1"/>
  <c r="G134" i="1"/>
  <c r="C135" i="1"/>
  <c r="F41" i="1"/>
  <c r="E41" i="1"/>
  <c r="G41" i="1" s="1"/>
  <c r="E52" i="1"/>
  <c r="G52" i="1"/>
  <c r="F52" i="1"/>
  <c r="D52" i="1"/>
  <c r="F105" i="1"/>
  <c r="E105" i="1"/>
  <c r="G105" i="1" s="1"/>
  <c r="F121" i="1"/>
  <c r="E121" i="1"/>
  <c r="G121" i="1" s="1"/>
  <c r="D41" i="1"/>
  <c r="F124" i="1"/>
  <c r="E124" i="1"/>
  <c r="G124" i="1" s="1"/>
  <c r="D134" i="1"/>
  <c r="B135" i="1"/>
  <c r="D135" i="1" s="1"/>
  <c r="C125" i="1" l="1"/>
  <c r="F55" i="1"/>
  <c r="E55" i="1"/>
  <c r="G55" i="1" s="1"/>
  <c r="B125" i="1"/>
  <c r="D55" i="1"/>
  <c r="E135" i="1"/>
  <c r="G135" i="1" s="1"/>
  <c r="F135" i="1"/>
  <c r="B136" i="1" l="1"/>
  <c r="D125" i="1"/>
  <c r="F125" i="1"/>
  <c r="C136" i="1"/>
  <c r="E125" i="1"/>
  <c r="G125" i="1" s="1"/>
  <c r="F136" i="1" l="1"/>
  <c r="E136" i="1"/>
  <c r="G136" i="1" s="1"/>
  <c r="D136" i="1"/>
</calcChain>
</file>

<file path=xl/sharedStrings.xml><?xml version="1.0" encoding="utf-8"?>
<sst xmlns="http://schemas.openxmlformats.org/spreadsheetml/2006/main" count="141" uniqueCount="141">
  <si>
    <t>Total</t>
  </si>
  <si>
    <t>Actual</t>
  </si>
  <si>
    <t>Budget</t>
  </si>
  <si>
    <t>over Budget</t>
  </si>
  <si>
    <t>Remaining</t>
  </si>
  <si>
    <t>% of Budget</t>
  </si>
  <si>
    <t>% Remaining</t>
  </si>
  <si>
    <t>Revenue</t>
  </si>
  <si>
    <t xml:space="preserve">   43300 Grants</t>
  </si>
  <si>
    <t xml:space="preserve">      43340 Church of the Good Shepherd</t>
  </si>
  <si>
    <t xml:space="preserve">      43350 Community 101</t>
  </si>
  <si>
    <t xml:space="preserve">      43360 Poor &amp; Homeless</t>
  </si>
  <si>
    <t xml:space="preserve">   Total 43300 Grants</t>
  </si>
  <si>
    <t xml:space="preserve">   43400 Contributions</t>
  </si>
  <si>
    <t xml:space="preserve">      43500 Church Donations</t>
  </si>
  <si>
    <t xml:space="preserve">      43510 Donations - Indiv, biz, etc.</t>
  </si>
  <si>
    <t xml:space="preserve">   Total 43400 Contributions</t>
  </si>
  <si>
    <t xml:space="preserve">   46400 Other Types of Income</t>
  </si>
  <si>
    <t xml:space="preserve">      46430 Miscellaneous Revenue</t>
  </si>
  <si>
    <t xml:space="preserve">      46440 Multnomah Cnty - Security Only</t>
  </si>
  <si>
    <t xml:space="preserve">   Total 46400 Other Types of Income</t>
  </si>
  <si>
    <t xml:space="preserve">   46500 Fund Raising Income</t>
  </si>
  <si>
    <t xml:space="preserve">      46505 Crafts &amp; Coctails</t>
  </si>
  <si>
    <t xml:space="preserve">      46510 Go Fund Me</t>
  </si>
  <si>
    <t xml:space="preserve">      46530 Mother's Tea</t>
  </si>
  <si>
    <t xml:space="preserve">         46532 Admissions</t>
  </si>
  <si>
    <t xml:space="preserve">         46534 Auction</t>
  </si>
  <si>
    <t xml:space="preserve">         46536 Other</t>
  </si>
  <si>
    <t xml:space="preserve">         46538 Raffle</t>
  </si>
  <si>
    <t xml:space="preserve">      Total 46530 Mother's Tea</t>
  </si>
  <si>
    <t xml:space="preserve">      46540 Other</t>
  </si>
  <si>
    <t xml:space="preserve">         46458 Poinsettia Fundraiser</t>
  </si>
  <si>
    <t xml:space="preserve">         46542 Amazon Smile</t>
  </si>
  <si>
    <t xml:space="preserve">         46544 Bagdad</t>
  </si>
  <si>
    <t xml:space="preserve">         46545 Broadway Bears</t>
  </si>
  <si>
    <t xml:space="preserve">         46546 Fred Meyer/Kroger Awards</t>
  </si>
  <si>
    <t xml:space="preserve">         Virtual 5K (deleted)</t>
  </si>
  <si>
    <t xml:space="preserve">      Total 46540 Other</t>
  </si>
  <si>
    <t xml:space="preserve">      46560 Year End Appeal</t>
  </si>
  <si>
    <t xml:space="preserve">         46562 GoFundMe Discount</t>
  </si>
  <si>
    <t xml:space="preserve">      Total 46560 Year End Appeal</t>
  </si>
  <si>
    <t xml:space="preserve">   Total 46500 Fund Raising Income</t>
  </si>
  <si>
    <t xml:space="preserve">   46600 Income-In Kind</t>
  </si>
  <si>
    <t xml:space="preserve">      46610 Food &amp; Beverage</t>
  </si>
  <si>
    <t xml:space="preserve">         46614 Training Events &amp; Meetings</t>
  </si>
  <si>
    <t xml:space="preserve">         46616 Weekly Meal</t>
  </si>
  <si>
    <t xml:space="preserve">      Total 46610 Food &amp; Beverage</t>
  </si>
  <si>
    <t xml:space="preserve">      46620 Office Splys/Software/etc.</t>
  </si>
  <si>
    <t xml:space="preserve">      46630 Other</t>
  </si>
  <si>
    <t xml:space="preserve">      46640 Personal Products</t>
  </si>
  <si>
    <t xml:space="preserve">      46655 Underwear/Socks/Clothing</t>
  </si>
  <si>
    <t xml:space="preserve">      46660 Winter Supply</t>
  </si>
  <si>
    <t xml:space="preserve">   Total 46600 Income-In Kind</t>
  </si>
  <si>
    <t xml:space="preserve">   PayPal Income</t>
  </si>
  <si>
    <t>Total Revenue</t>
  </si>
  <si>
    <t>Gross Profit</t>
  </si>
  <si>
    <t>Expenditures</t>
  </si>
  <si>
    <t xml:space="preserve">   60900 Business Expenses</t>
  </si>
  <si>
    <t xml:space="preserve">      60920 Business Registration Fees</t>
  </si>
  <si>
    <t xml:space="preserve">      60940 CT-12 Annual Report</t>
  </si>
  <si>
    <t xml:space="preserve">      60950 Domain Fees</t>
  </si>
  <si>
    <t xml:space="preserve">      60960 Membership</t>
  </si>
  <si>
    <t xml:space="preserve">      60970 USPS</t>
  </si>
  <si>
    <t xml:space="preserve">         60972 Bulk Mail Permit</t>
  </si>
  <si>
    <t xml:space="preserve">         60974 PO Box</t>
  </si>
  <si>
    <t xml:space="preserve">         60976 Return Mail</t>
  </si>
  <si>
    <t xml:space="preserve">         60978 Stamps</t>
  </si>
  <si>
    <t xml:space="preserve">      Total 60970 USPS</t>
  </si>
  <si>
    <t xml:space="preserve">   Total 60900 Business Expenses</t>
  </si>
  <si>
    <t xml:space="preserve">   62100 Contract Services</t>
  </si>
  <si>
    <t xml:space="preserve">      62135 Security Services</t>
  </si>
  <si>
    <t xml:space="preserve">   Total 62100 Contract Services</t>
  </si>
  <si>
    <t xml:space="preserve">   62800 Facilities and Equipment</t>
  </si>
  <si>
    <t xml:space="preserve">      62850 Bldg. Use Donation</t>
  </si>
  <si>
    <t xml:space="preserve">      62860 Storage Space</t>
  </si>
  <si>
    <t xml:space="preserve">   Total 62800 Facilities and Equipment</t>
  </si>
  <si>
    <t xml:space="preserve">   65000 Operations</t>
  </si>
  <si>
    <t xml:space="preserve">      65030 Printing and Copying</t>
  </si>
  <si>
    <t xml:space="preserve">      65040 Food &amp; Beverage</t>
  </si>
  <si>
    <t xml:space="preserve">         65042 Guest Meals</t>
  </si>
  <si>
    <t xml:space="preserve">         65044 Training Events &amp; Meetings</t>
  </si>
  <si>
    <t xml:space="preserve">      Total 65040 Food &amp; Beverage</t>
  </si>
  <si>
    <t xml:space="preserve">      65045 Kitchen Supplies</t>
  </si>
  <si>
    <t xml:space="preserve">      65055 Board/Volunteer Development</t>
  </si>
  <si>
    <t xml:space="preserve">      65060 Bus Tickets</t>
  </si>
  <si>
    <t xml:space="preserve">      65065 Donation/Gift Sharing</t>
  </si>
  <si>
    <t xml:space="preserve">      65070 Marketing Promotional Advertizing</t>
  </si>
  <si>
    <t xml:space="preserve">      65075 Office Supplies/Software/etc.</t>
  </si>
  <si>
    <t xml:space="preserve">      65080 Other</t>
  </si>
  <si>
    <t xml:space="preserve">      65085 Personal Products</t>
  </si>
  <si>
    <t xml:space="preserve">      65090 Tablecloths</t>
  </si>
  <si>
    <t xml:space="preserve">      65095 Underwear/Stockings/Clothing</t>
  </si>
  <si>
    <t xml:space="preserve">      Storage Rental (deleted)</t>
  </si>
  <si>
    <t xml:space="preserve">   Total 65000 Operations</t>
  </si>
  <si>
    <t xml:space="preserve">   69800 Uncategorized Expenses</t>
  </si>
  <si>
    <t xml:space="preserve">   69900 Expense - In Kind</t>
  </si>
  <si>
    <t xml:space="preserve">      69910 Food &amp; Beverage</t>
  </si>
  <si>
    <t xml:space="preserve">         69914 Training Events &amp; Meetings</t>
  </si>
  <si>
    <t xml:space="preserve">         69916 Weekly Meal</t>
  </si>
  <si>
    <t xml:space="preserve">      Total 69910 Food &amp; Beverage</t>
  </si>
  <si>
    <t xml:space="preserve">      69920 Office Supplies/Software/etc.</t>
  </si>
  <si>
    <t xml:space="preserve">      69930 Other</t>
  </si>
  <si>
    <t xml:space="preserve">      69940 Personal Products</t>
  </si>
  <si>
    <t xml:space="preserve">      69955 Underwear/Stockings/clothing</t>
  </si>
  <si>
    <t xml:space="preserve">      69960 Winter Supplies</t>
  </si>
  <si>
    <t xml:space="preserve">   Total 69900 Expense - In Kind</t>
  </si>
  <si>
    <t xml:space="preserve">   71000 Fund Raising</t>
  </si>
  <si>
    <t xml:space="preserve">      71020 Advertising</t>
  </si>
  <si>
    <t xml:space="preserve">      71030 Decorations</t>
  </si>
  <si>
    <t xml:space="preserve">      71035 Food &amp; Beverage</t>
  </si>
  <si>
    <t xml:space="preserve">      71040 Mother's Tea</t>
  </si>
  <si>
    <t xml:space="preserve">         71042 Auction</t>
  </si>
  <si>
    <t xml:space="preserve">         71044 Decorations</t>
  </si>
  <si>
    <t xml:space="preserve">         71046 Food &amp; Beverage</t>
  </si>
  <si>
    <t xml:space="preserve">         71048 Other</t>
  </si>
  <si>
    <t xml:space="preserve">         71049 Paper/Printing</t>
  </si>
  <si>
    <t xml:space="preserve">      Total 71040 Mother's Tea</t>
  </si>
  <si>
    <t xml:space="preserve">      71050 Other</t>
  </si>
  <si>
    <t xml:space="preserve">      71060 Paper, Envelopes, etc.</t>
  </si>
  <si>
    <t xml:space="preserve">      71070 Printing/Copying</t>
  </si>
  <si>
    <t xml:space="preserve">      71080 Stamps/Bulk Mail</t>
  </si>
  <si>
    <t xml:space="preserve">   Total 71000 Fund Raising</t>
  </si>
  <si>
    <t xml:space="preserve">   PayPal Fees</t>
  </si>
  <si>
    <t xml:space="preserve">   Uncategorized Expenditure</t>
  </si>
  <si>
    <t>Total Expenditures</t>
  </si>
  <si>
    <t>Net Operating Revenue</t>
  </si>
  <si>
    <t>Other Revenue</t>
  </si>
  <si>
    <t xml:space="preserve">   Bank Dividends</t>
  </si>
  <si>
    <t>Total Other Revenue</t>
  </si>
  <si>
    <t>Other Expenditures</t>
  </si>
  <si>
    <t xml:space="preserve">   Merchant Fees</t>
  </si>
  <si>
    <t xml:space="preserve">      PayPal</t>
  </si>
  <si>
    <t xml:space="preserve">      Square</t>
  </si>
  <si>
    <t xml:space="preserve">   Total Merchant Fees</t>
  </si>
  <si>
    <t>Total Other Expenditures</t>
  </si>
  <si>
    <t>Net Other Revenue</t>
  </si>
  <si>
    <t>Net Revenue</t>
  </si>
  <si>
    <t>Monday, Jan 16, 2017 02:41:19 PM GMT-8 - Cash Basis</t>
  </si>
  <si>
    <t>Rahab's Sisters</t>
  </si>
  <si>
    <t xml:space="preserve">Budget vs. Actuals: FY_2016 revised - FY16 P&amp;L </t>
  </si>
  <si>
    <t>January - December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</si>
</sst>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0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0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10" fontId="2" fillId="0" borderId="3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0"/>
  <sheetViews>
    <sheetView tabSelected="1" workbookViewId="0">
      <selection sqref="A1:G1"/>
    </sheetView>
  </sheetViews>
  <sheetFormatPr defaultRowHeight="14.4" x14ac:dyDescent="0.3"/>
  <cols>
    <col min="1" max="1" width="39.5546875" customWidth="1"/>
    <col min="2" max="7" width="12" customWidth="1"/>
  </cols>
  <sheetData>
    <row r="1" spans="1:7" ht="17.399999999999999" x14ac:dyDescent="0.3">
      <c r="A1" s="15" t="s">
        <v>138</v>
      </c>
      <c r="B1" s="14"/>
      <c r="C1" s="14"/>
      <c r="D1" s="14"/>
      <c r="E1" s="14"/>
      <c r="F1" s="14"/>
      <c r="G1" s="14"/>
    </row>
    <row r="2" spans="1:7" ht="17.399999999999999" x14ac:dyDescent="0.3">
      <c r="A2" s="15" t="s">
        <v>139</v>
      </c>
      <c r="B2" s="14"/>
      <c r="C2" s="14"/>
      <c r="D2" s="14"/>
      <c r="E2" s="14"/>
      <c r="F2" s="14"/>
      <c r="G2" s="14"/>
    </row>
    <row r="3" spans="1:7" x14ac:dyDescent="0.3">
      <c r="A3" s="16" t="s">
        <v>140</v>
      </c>
      <c r="B3" s="14"/>
      <c r="C3" s="14"/>
      <c r="D3" s="14"/>
      <c r="E3" s="14"/>
      <c r="F3" s="14"/>
      <c r="G3" s="14"/>
    </row>
    <row r="5" spans="1:7" x14ac:dyDescent="0.3">
      <c r="A5" s="1"/>
      <c r="B5" s="11" t="s">
        <v>0</v>
      </c>
      <c r="C5" s="12"/>
      <c r="D5" s="12"/>
      <c r="E5" s="12"/>
      <c r="F5" s="12"/>
      <c r="G5" s="12"/>
    </row>
    <row r="6" spans="1:7" x14ac:dyDescent="0.3">
      <c r="A6" s="1"/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</row>
    <row r="7" spans="1:7" x14ac:dyDescent="0.3">
      <c r="A7" s="3" t="s">
        <v>7</v>
      </c>
      <c r="B7" s="4"/>
      <c r="C7" s="4"/>
      <c r="D7" s="4"/>
      <c r="E7" s="4"/>
      <c r="F7" s="4"/>
      <c r="G7" s="4"/>
    </row>
    <row r="8" spans="1:7" x14ac:dyDescent="0.3">
      <c r="A8" s="3" t="s">
        <v>8</v>
      </c>
      <c r="B8" s="5">
        <f>5000</f>
        <v>5000</v>
      </c>
      <c r="C8" s="4"/>
      <c r="D8" s="5">
        <f t="shared" ref="D8:D55" si="0">(B8)-(C8)</f>
        <v>5000</v>
      </c>
      <c r="E8" s="5">
        <f t="shared" ref="E8:E55" si="1">(C8)-(B8)</f>
        <v>-5000</v>
      </c>
      <c r="F8" s="6" t="str">
        <f t="shared" ref="F8:F55" si="2">IF(C8=0,"",(B8)/(C8))</f>
        <v/>
      </c>
      <c r="G8" s="6" t="str">
        <f t="shared" ref="G8:G55" si="3">IF(C8=0,"",(E8)/(C8))</f>
        <v/>
      </c>
    </row>
    <row r="9" spans="1:7" x14ac:dyDescent="0.3">
      <c r="A9" s="3" t="s">
        <v>9</v>
      </c>
      <c r="B9" s="5">
        <f>2976</f>
        <v>2976</v>
      </c>
      <c r="C9" s="5">
        <f>3000</f>
        <v>3000</v>
      </c>
      <c r="D9" s="5">
        <f t="shared" si="0"/>
        <v>-24</v>
      </c>
      <c r="E9" s="5">
        <f t="shared" si="1"/>
        <v>24</v>
      </c>
      <c r="F9" s="6">
        <f t="shared" si="2"/>
        <v>0.99199999999999999</v>
      </c>
      <c r="G9" s="6">
        <f t="shared" si="3"/>
        <v>8.0000000000000002E-3</v>
      </c>
    </row>
    <row r="10" spans="1:7" x14ac:dyDescent="0.3">
      <c r="A10" s="3" t="s">
        <v>10</v>
      </c>
      <c r="B10" s="5">
        <f>1750</f>
        <v>1750</v>
      </c>
      <c r="C10" s="5">
        <f>1750</f>
        <v>1750</v>
      </c>
      <c r="D10" s="5">
        <f t="shared" si="0"/>
        <v>0</v>
      </c>
      <c r="E10" s="5">
        <f t="shared" si="1"/>
        <v>0</v>
      </c>
      <c r="F10" s="6">
        <f t="shared" si="2"/>
        <v>1</v>
      </c>
      <c r="G10" s="6">
        <f t="shared" si="3"/>
        <v>0</v>
      </c>
    </row>
    <row r="11" spans="1:7" x14ac:dyDescent="0.3">
      <c r="A11" s="3" t="s">
        <v>11</v>
      </c>
      <c r="B11" s="5">
        <f>1000</f>
        <v>1000</v>
      </c>
      <c r="C11" s="5">
        <f>900</f>
        <v>900</v>
      </c>
      <c r="D11" s="5">
        <f t="shared" si="0"/>
        <v>100</v>
      </c>
      <c r="E11" s="5">
        <f t="shared" si="1"/>
        <v>-100</v>
      </c>
      <c r="F11" s="6">
        <f t="shared" si="2"/>
        <v>1.1111111111111112</v>
      </c>
      <c r="G11" s="6">
        <f t="shared" si="3"/>
        <v>-0.1111111111111111</v>
      </c>
    </row>
    <row r="12" spans="1:7" x14ac:dyDescent="0.3">
      <c r="A12" s="3" t="s">
        <v>12</v>
      </c>
      <c r="B12" s="7">
        <f>(((B8)+(B9))+(B10))+(B11)</f>
        <v>10726</v>
      </c>
      <c r="C12" s="7">
        <f>(((C8)+(C9))+(C10))+(C11)</f>
        <v>5650</v>
      </c>
      <c r="D12" s="7">
        <f t="shared" si="0"/>
        <v>5076</v>
      </c>
      <c r="E12" s="7">
        <f t="shared" si="1"/>
        <v>-5076</v>
      </c>
      <c r="F12" s="8">
        <f t="shared" si="2"/>
        <v>1.8984070796460177</v>
      </c>
      <c r="G12" s="8">
        <f t="shared" si="3"/>
        <v>-0.89840707964601774</v>
      </c>
    </row>
    <row r="13" spans="1:7" x14ac:dyDescent="0.3">
      <c r="A13" s="3" t="s">
        <v>13</v>
      </c>
      <c r="B13" s="4"/>
      <c r="C13" s="4"/>
      <c r="D13" s="5">
        <f t="shared" si="0"/>
        <v>0</v>
      </c>
      <c r="E13" s="5">
        <f t="shared" si="1"/>
        <v>0</v>
      </c>
      <c r="F13" s="6" t="str">
        <f t="shared" si="2"/>
        <v/>
      </c>
      <c r="G13" s="6" t="str">
        <f t="shared" si="3"/>
        <v/>
      </c>
    </row>
    <row r="14" spans="1:7" x14ac:dyDescent="0.3">
      <c r="A14" s="3" t="s">
        <v>14</v>
      </c>
      <c r="B14" s="5">
        <f>2175</f>
        <v>2175</v>
      </c>
      <c r="C14" s="5">
        <f>1550</f>
        <v>1550</v>
      </c>
      <c r="D14" s="5">
        <f t="shared" si="0"/>
        <v>625</v>
      </c>
      <c r="E14" s="5">
        <f t="shared" si="1"/>
        <v>-625</v>
      </c>
      <c r="F14" s="6">
        <f t="shared" si="2"/>
        <v>1.403225806451613</v>
      </c>
      <c r="G14" s="6">
        <f t="shared" si="3"/>
        <v>-0.40322580645161288</v>
      </c>
    </row>
    <row r="15" spans="1:7" x14ac:dyDescent="0.3">
      <c r="A15" s="3" t="s">
        <v>15</v>
      </c>
      <c r="B15" s="5">
        <f>6088.81</f>
        <v>6088.81</v>
      </c>
      <c r="C15" s="5">
        <f>4000</f>
        <v>4000</v>
      </c>
      <c r="D15" s="5">
        <f t="shared" si="0"/>
        <v>2088.8100000000004</v>
      </c>
      <c r="E15" s="5">
        <f t="shared" si="1"/>
        <v>-2088.8100000000004</v>
      </c>
      <c r="F15" s="6">
        <f t="shared" si="2"/>
        <v>1.5222025000000001</v>
      </c>
      <c r="G15" s="6">
        <f t="shared" si="3"/>
        <v>-0.52220250000000012</v>
      </c>
    </row>
    <row r="16" spans="1:7" x14ac:dyDescent="0.3">
      <c r="A16" s="3" t="s">
        <v>16</v>
      </c>
      <c r="B16" s="7">
        <f>((B13)+(B14))+(B15)</f>
        <v>8263.8100000000013</v>
      </c>
      <c r="C16" s="7">
        <f>((C13)+(C14))+(C15)</f>
        <v>5550</v>
      </c>
      <c r="D16" s="7">
        <f t="shared" si="0"/>
        <v>2713.8100000000013</v>
      </c>
      <c r="E16" s="7">
        <f t="shared" si="1"/>
        <v>-2713.8100000000013</v>
      </c>
      <c r="F16" s="8">
        <f t="shared" si="2"/>
        <v>1.488974774774775</v>
      </c>
      <c r="G16" s="8">
        <f t="shared" si="3"/>
        <v>-0.48897477477477502</v>
      </c>
    </row>
    <row r="17" spans="1:7" x14ac:dyDescent="0.3">
      <c r="A17" s="3" t="s">
        <v>17</v>
      </c>
      <c r="B17" s="4"/>
      <c r="C17" s="4"/>
      <c r="D17" s="5">
        <f t="shared" si="0"/>
        <v>0</v>
      </c>
      <c r="E17" s="5">
        <f t="shared" si="1"/>
        <v>0</v>
      </c>
      <c r="F17" s="6" t="str">
        <f t="shared" si="2"/>
        <v/>
      </c>
      <c r="G17" s="6" t="str">
        <f t="shared" si="3"/>
        <v/>
      </c>
    </row>
    <row r="18" spans="1:7" x14ac:dyDescent="0.3">
      <c r="A18" s="3" t="s">
        <v>18</v>
      </c>
      <c r="B18" s="5">
        <f>50</f>
        <v>50</v>
      </c>
      <c r="C18" s="4"/>
      <c r="D18" s="5">
        <f t="shared" si="0"/>
        <v>50</v>
      </c>
      <c r="E18" s="5">
        <f t="shared" si="1"/>
        <v>-50</v>
      </c>
      <c r="F18" s="6" t="str">
        <f t="shared" si="2"/>
        <v/>
      </c>
      <c r="G18" s="6" t="str">
        <f t="shared" si="3"/>
        <v/>
      </c>
    </row>
    <row r="19" spans="1:7" x14ac:dyDescent="0.3">
      <c r="A19" s="3" t="s">
        <v>19</v>
      </c>
      <c r="B19" s="5">
        <f>2636</f>
        <v>2636</v>
      </c>
      <c r="C19" s="5">
        <f>3400</f>
        <v>3400</v>
      </c>
      <c r="D19" s="5">
        <f t="shared" si="0"/>
        <v>-764</v>
      </c>
      <c r="E19" s="5">
        <f t="shared" si="1"/>
        <v>764</v>
      </c>
      <c r="F19" s="6">
        <f t="shared" si="2"/>
        <v>0.7752941176470588</v>
      </c>
      <c r="G19" s="6">
        <f t="shared" si="3"/>
        <v>0.22470588235294117</v>
      </c>
    </row>
    <row r="20" spans="1:7" x14ac:dyDescent="0.3">
      <c r="A20" s="3" t="s">
        <v>20</v>
      </c>
      <c r="B20" s="7">
        <f>((B17)+(B18))+(B19)</f>
        <v>2686</v>
      </c>
      <c r="C20" s="7">
        <f>((C17)+(C18))+(C19)</f>
        <v>3400</v>
      </c>
      <c r="D20" s="7">
        <f t="shared" si="0"/>
        <v>-714</v>
      </c>
      <c r="E20" s="7">
        <f t="shared" si="1"/>
        <v>714</v>
      </c>
      <c r="F20" s="8">
        <f t="shared" si="2"/>
        <v>0.79</v>
      </c>
      <c r="G20" s="8">
        <f t="shared" si="3"/>
        <v>0.21</v>
      </c>
    </row>
    <row r="21" spans="1:7" x14ac:dyDescent="0.3">
      <c r="A21" s="3" t="s">
        <v>21</v>
      </c>
      <c r="B21" s="4"/>
      <c r="C21" s="4"/>
      <c r="D21" s="5">
        <f t="shared" si="0"/>
        <v>0</v>
      </c>
      <c r="E21" s="5">
        <f t="shared" si="1"/>
        <v>0</v>
      </c>
      <c r="F21" s="6" t="str">
        <f t="shared" si="2"/>
        <v/>
      </c>
      <c r="G21" s="6" t="str">
        <f t="shared" si="3"/>
        <v/>
      </c>
    </row>
    <row r="22" spans="1:7" x14ac:dyDescent="0.3">
      <c r="A22" s="3" t="s">
        <v>22</v>
      </c>
      <c r="B22" s="5">
        <f>220</f>
        <v>220</v>
      </c>
      <c r="C22" s="4"/>
      <c r="D22" s="5">
        <f t="shared" si="0"/>
        <v>220</v>
      </c>
      <c r="E22" s="5">
        <f t="shared" si="1"/>
        <v>-220</v>
      </c>
      <c r="F22" s="6" t="str">
        <f t="shared" si="2"/>
        <v/>
      </c>
      <c r="G22" s="6" t="str">
        <f t="shared" si="3"/>
        <v/>
      </c>
    </row>
    <row r="23" spans="1:7" x14ac:dyDescent="0.3">
      <c r="A23" s="3" t="s">
        <v>23</v>
      </c>
      <c r="B23" s="4"/>
      <c r="C23" s="5">
        <f>-475</f>
        <v>-475</v>
      </c>
      <c r="D23" s="5">
        <f t="shared" si="0"/>
        <v>475</v>
      </c>
      <c r="E23" s="5">
        <f t="shared" si="1"/>
        <v>-475</v>
      </c>
      <c r="F23" s="6">
        <f t="shared" si="2"/>
        <v>0</v>
      </c>
      <c r="G23" s="6">
        <f t="shared" si="3"/>
        <v>1</v>
      </c>
    </row>
    <row r="24" spans="1:7" x14ac:dyDescent="0.3">
      <c r="A24" s="3" t="s">
        <v>24</v>
      </c>
      <c r="B24" s="4"/>
      <c r="C24" s="4"/>
      <c r="D24" s="5">
        <f t="shared" si="0"/>
        <v>0</v>
      </c>
      <c r="E24" s="5">
        <f t="shared" si="1"/>
        <v>0</v>
      </c>
      <c r="F24" s="6" t="str">
        <f t="shared" si="2"/>
        <v/>
      </c>
      <c r="G24" s="6" t="str">
        <f t="shared" si="3"/>
        <v/>
      </c>
    </row>
    <row r="25" spans="1:7" x14ac:dyDescent="0.3">
      <c r="A25" s="3" t="s">
        <v>25</v>
      </c>
      <c r="B25" s="5">
        <f>1425</f>
        <v>1425</v>
      </c>
      <c r="C25" s="5">
        <f>2000</f>
        <v>2000</v>
      </c>
      <c r="D25" s="5">
        <f t="shared" si="0"/>
        <v>-575</v>
      </c>
      <c r="E25" s="5">
        <f t="shared" si="1"/>
        <v>575</v>
      </c>
      <c r="F25" s="6">
        <f t="shared" si="2"/>
        <v>0.71250000000000002</v>
      </c>
      <c r="G25" s="6">
        <f t="shared" si="3"/>
        <v>0.28749999999999998</v>
      </c>
    </row>
    <row r="26" spans="1:7" x14ac:dyDescent="0.3">
      <c r="A26" s="3" t="s">
        <v>26</v>
      </c>
      <c r="B26" s="5">
        <f>2775.5</f>
        <v>2775.5</v>
      </c>
      <c r="C26" s="5">
        <f>2500</f>
        <v>2500</v>
      </c>
      <c r="D26" s="5">
        <f t="shared" si="0"/>
        <v>275.5</v>
      </c>
      <c r="E26" s="5">
        <f t="shared" si="1"/>
        <v>-275.5</v>
      </c>
      <c r="F26" s="6">
        <f t="shared" si="2"/>
        <v>1.1102000000000001</v>
      </c>
      <c r="G26" s="6">
        <f t="shared" si="3"/>
        <v>-0.11020000000000001</v>
      </c>
    </row>
    <row r="27" spans="1:7" x14ac:dyDescent="0.3">
      <c r="A27" s="3" t="s">
        <v>27</v>
      </c>
      <c r="B27" s="5">
        <f>778</f>
        <v>778</v>
      </c>
      <c r="C27" s="5">
        <f>1500</f>
        <v>1500</v>
      </c>
      <c r="D27" s="5">
        <f t="shared" si="0"/>
        <v>-722</v>
      </c>
      <c r="E27" s="5">
        <f t="shared" si="1"/>
        <v>722</v>
      </c>
      <c r="F27" s="6">
        <f t="shared" si="2"/>
        <v>0.51866666666666672</v>
      </c>
      <c r="G27" s="6">
        <f t="shared" si="3"/>
        <v>0.48133333333333334</v>
      </c>
    </row>
    <row r="28" spans="1:7" x14ac:dyDescent="0.3">
      <c r="A28" s="3" t="s">
        <v>28</v>
      </c>
      <c r="B28" s="5">
        <f>952</f>
        <v>952</v>
      </c>
      <c r="C28" s="5">
        <f>500</f>
        <v>500</v>
      </c>
      <c r="D28" s="5">
        <f t="shared" si="0"/>
        <v>452</v>
      </c>
      <c r="E28" s="5">
        <f t="shared" si="1"/>
        <v>-452</v>
      </c>
      <c r="F28" s="6">
        <f t="shared" si="2"/>
        <v>1.9039999999999999</v>
      </c>
      <c r="G28" s="6">
        <f t="shared" si="3"/>
        <v>-0.90400000000000003</v>
      </c>
    </row>
    <row r="29" spans="1:7" x14ac:dyDescent="0.3">
      <c r="A29" s="3" t="s">
        <v>29</v>
      </c>
      <c r="B29" s="7">
        <f>((((B24)+(B25))+(B26))+(B27))+(B28)</f>
        <v>5930.5</v>
      </c>
      <c r="C29" s="7">
        <f>((((C24)+(C25))+(C26))+(C27))+(C28)</f>
        <v>6500</v>
      </c>
      <c r="D29" s="7">
        <f t="shared" si="0"/>
        <v>-569.5</v>
      </c>
      <c r="E29" s="7">
        <f t="shared" si="1"/>
        <v>569.5</v>
      </c>
      <c r="F29" s="8">
        <f t="shared" si="2"/>
        <v>0.91238461538461535</v>
      </c>
      <c r="G29" s="8">
        <f t="shared" si="3"/>
        <v>8.7615384615384609E-2</v>
      </c>
    </row>
    <row r="30" spans="1:7" x14ac:dyDescent="0.3">
      <c r="A30" s="3" t="s">
        <v>30</v>
      </c>
      <c r="B30" s="5">
        <f>2387.26</f>
        <v>2387.2600000000002</v>
      </c>
      <c r="C30" s="5">
        <f>2000</f>
        <v>2000</v>
      </c>
      <c r="D30" s="5">
        <f t="shared" si="0"/>
        <v>387.26000000000022</v>
      </c>
      <c r="E30" s="5">
        <f t="shared" si="1"/>
        <v>-387.26000000000022</v>
      </c>
      <c r="F30" s="6">
        <f t="shared" si="2"/>
        <v>1.1936300000000002</v>
      </c>
      <c r="G30" s="6">
        <f t="shared" si="3"/>
        <v>-0.19363000000000011</v>
      </c>
    </row>
    <row r="31" spans="1:7" x14ac:dyDescent="0.3">
      <c r="A31" s="3" t="s">
        <v>31</v>
      </c>
      <c r="B31" s="5">
        <f>150</f>
        <v>150</v>
      </c>
      <c r="C31" s="4"/>
      <c r="D31" s="5">
        <f t="shared" si="0"/>
        <v>150</v>
      </c>
      <c r="E31" s="5">
        <f t="shared" si="1"/>
        <v>-150</v>
      </c>
      <c r="F31" s="6" t="str">
        <f t="shared" si="2"/>
        <v/>
      </c>
      <c r="G31" s="6" t="str">
        <f t="shared" si="3"/>
        <v/>
      </c>
    </row>
    <row r="32" spans="1:7" x14ac:dyDescent="0.3">
      <c r="A32" s="3" t="s">
        <v>32</v>
      </c>
      <c r="B32" s="5">
        <f>61.63</f>
        <v>61.63</v>
      </c>
      <c r="C32" s="5">
        <f>50</f>
        <v>50</v>
      </c>
      <c r="D32" s="5">
        <f t="shared" si="0"/>
        <v>11.630000000000003</v>
      </c>
      <c r="E32" s="5">
        <f t="shared" si="1"/>
        <v>-11.630000000000003</v>
      </c>
      <c r="F32" s="6">
        <f t="shared" si="2"/>
        <v>1.2326000000000001</v>
      </c>
      <c r="G32" s="6">
        <f t="shared" si="3"/>
        <v>-0.23260000000000006</v>
      </c>
    </row>
    <row r="33" spans="1:7" x14ac:dyDescent="0.3">
      <c r="A33" s="3" t="s">
        <v>33</v>
      </c>
      <c r="B33" s="5">
        <f>1752.2</f>
        <v>1752.2</v>
      </c>
      <c r="C33" s="5">
        <f>1500</f>
        <v>1500</v>
      </c>
      <c r="D33" s="5">
        <f t="shared" si="0"/>
        <v>252.20000000000005</v>
      </c>
      <c r="E33" s="5">
        <f t="shared" si="1"/>
        <v>-252.20000000000005</v>
      </c>
      <c r="F33" s="6">
        <f t="shared" si="2"/>
        <v>1.1681333333333335</v>
      </c>
      <c r="G33" s="6">
        <f t="shared" si="3"/>
        <v>-0.16813333333333336</v>
      </c>
    </row>
    <row r="34" spans="1:7" x14ac:dyDescent="0.3">
      <c r="A34" s="3" t="s">
        <v>34</v>
      </c>
      <c r="B34" s="5">
        <f>160</f>
        <v>160</v>
      </c>
      <c r="C34" s="4"/>
      <c r="D34" s="5">
        <f t="shared" si="0"/>
        <v>160</v>
      </c>
      <c r="E34" s="5">
        <f t="shared" si="1"/>
        <v>-160</v>
      </c>
      <c r="F34" s="6" t="str">
        <f t="shared" si="2"/>
        <v/>
      </c>
      <c r="G34" s="6" t="str">
        <f t="shared" si="3"/>
        <v/>
      </c>
    </row>
    <row r="35" spans="1:7" x14ac:dyDescent="0.3">
      <c r="A35" s="3" t="s">
        <v>35</v>
      </c>
      <c r="B35" s="5">
        <f>294.53</f>
        <v>294.52999999999997</v>
      </c>
      <c r="C35" s="5">
        <f>370</f>
        <v>370</v>
      </c>
      <c r="D35" s="5">
        <f t="shared" si="0"/>
        <v>-75.470000000000027</v>
      </c>
      <c r="E35" s="5">
        <f t="shared" si="1"/>
        <v>75.470000000000027</v>
      </c>
      <c r="F35" s="6">
        <f t="shared" si="2"/>
        <v>0.79602702702702699</v>
      </c>
      <c r="G35" s="6">
        <f t="shared" si="3"/>
        <v>0.20397297297297304</v>
      </c>
    </row>
    <row r="36" spans="1:7" x14ac:dyDescent="0.3">
      <c r="A36" s="3" t="s">
        <v>36</v>
      </c>
      <c r="B36" s="4"/>
      <c r="C36" s="5">
        <f>500</f>
        <v>500</v>
      </c>
      <c r="D36" s="5">
        <f t="shared" si="0"/>
        <v>-500</v>
      </c>
      <c r="E36" s="5">
        <f t="shared" si="1"/>
        <v>500</v>
      </c>
      <c r="F36" s="6">
        <f t="shared" si="2"/>
        <v>0</v>
      </c>
      <c r="G36" s="6">
        <f t="shared" si="3"/>
        <v>1</v>
      </c>
    </row>
    <row r="37" spans="1:7" x14ac:dyDescent="0.3">
      <c r="A37" s="3" t="s">
        <v>37</v>
      </c>
      <c r="B37" s="7">
        <f>((((((B30)+(B31))+(B32))+(B33))+(B34))+(B35))+(B36)</f>
        <v>4805.62</v>
      </c>
      <c r="C37" s="7">
        <f>((((((C30)+(C31))+(C32))+(C33))+(C34))+(C35))+(C36)</f>
        <v>4420</v>
      </c>
      <c r="D37" s="7">
        <f t="shared" si="0"/>
        <v>385.61999999999989</v>
      </c>
      <c r="E37" s="7">
        <f t="shared" si="1"/>
        <v>-385.61999999999989</v>
      </c>
      <c r="F37" s="8">
        <f t="shared" si="2"/>
        <v>1.0872443438914028</v>
      </c>
      <c r="G37" s="8">
        <f t="shared" si="3"/>
        <v>-8.724434389140269E-2</v>
      </c>
    </row>
    <row r="38" spans="1:7" x14ac:dyDescent="0.3">
      <c r="A38" s="3" t="s">
        <v>38</v>
      </c>
      <c r="B38" s="5">
        <f>17595</f>
        <v>17595</v>
      </c>
      <c r="C38" s="5">
        <f>7000</f>
        <v>7000</v>
      </c>
      <c r="D38" s="5">
        <f t="shared" si="0"/>
        <v>10595</v>
      </c>
      <c r="E38" s="5">
        <f t="shared" si="1"/>
        <v>-10595</v>
      </c>
      <c r="F38" s="6">
        <f t="shared" si="2"/>
        <v>2.5135714285714288</v>
      </c>
      <c r="G38" s="6">
        <f t="shared" si="3"/>
        <v>-1.5135714285714286</v>
      </c>
    </row>
    <row r="39" spans="1:7" x14ac:dyDescent="0.3">
      <c r="A39" s="3" t="s">
        <v>39</v>
      </c>
      <c r="B39" s="5">
        <f>-853.05</f>
        <v>-853.05</v>
      </c>
      <c r="C39" s="4"/>
      <c r="D39" s="5">
        <f t="shared" si="0"/>
        <v>-853.05</v>
      </c>
      <c r="E39" s="5">
        <f t="shared" si="1"/>
        <v>853.05</v>
      </c>
      <c r="F39" s="6" t="str">
        <f t="shared" si="2"/>
        <v/>
      </c>
      <c r="G39" s="6" t="str">
        <f t="shared" si="3"/>
        <v/>
      </c>
    </row>
    <row r="40" spans="1:7" x14ac:dyDescent="0.3">
      <c r="A40" s="3" t="s">
        <v>40</v>
      </c>
      <c r="B40" s="7">
        <f>(B38)+(B39)</f>
        <v>16741.95</v>
      </c>
      <c r="C40" s="7">
        <f>(C38)+(C39)</f>
        <v>7000</v>
      </c>
      <c r="D40" s="7">
        <f t="shared" si="0"/>
        <v>9741.9500000000007</v>
      </c>
      <c r="E40" s="7">
        <f t="shared" si="1"/>
        <v>-9741.9500000000007</v>
      </c>
      <c r="F40" s="8">
        <f t="shared" si="2"/>
        <v>2.3917071428571428</v>
      </c>
      <c r="G40" s="8">
        <f t="shared" si="3"/>
        <v>-1.391707142857143</v>
      </c>
    </row>
    <row r="41" spans="1:7" x14ac:dyDescent="0.3">
      <c r="A41" s="3" t="s">
        <v>41</v>
      </c>
      <c r="B41" s="7">
        <f>(((((B21)+(B22))+(B23))+(B29))+(B37))+(B40)</f>
        <v>27698.07</v>
      </c>
      <c r="C41" s="7">
        <f>(((((C21)+(C22))+(C23))+(C29))+(C37))+(C40)</f>
        <v>17445</v>
      </c>
      <c r="D41" s="7">
        <f t="shared" si="0"/>
        <v>10253.07</v>
      </c>
      <c r="E41" s="7">
        <f t="shared" si="1"/>
        <v>-10253.07</v>
      </c>
      <c r="F41" s="8">
        <f t="shared" si="2"/>
        <v>1.5877368873602751</v>
      </c>
      <c r="G41" s="8">
        <f t="shared" si="3"/>
        <v>-0.58773688736027518</v>
      </c>
    </row>
    <row r="42" spans="1:7" x14ac:dyDescent="0.3">
      <c r="A42" s="3" t="s">
        <v>42</v>
      </c>
      <c r="B42" s="4"/>
      <c r="C42" s="4"/>
      <c r="D42" s="5">
        <f t="shared" si="0"/>
        <v>0</v>
      </c>
      <c r="E42" s="5">
        <f t="shared" si="1"/>
        <v>0</v>
      </c>
      <c r="F42" s="6" t="str">
        <f t="shared" si="2"/>
        <v/>
      </c>
      <c r="G42" s="6" t="str">
        <f t="shared" si="3"/>
        <v/>
      </c>
    </row>
    <row r="43" spans="1:7" x14ac:dyDescent="0.3">
      <c r="A43" s="3" t="s">
        <v>43</v>
      </c>
      <c r="B43" s="5">
        <f>149.03</f>
        <v>149.03</v>
      </c>
      <c r="C43" s="4"/>
      <c r="D43" s="5">
        <f t="shared" si="0"/>
        <v>149.03</v>
      </c>
      <c r="E43" s="5">
        <f t="shared" si="1"/>
        <v>-149.03</v>
      </c>
      <c r="F43" s="6" t="str">
        <f t="shared" si="2"/>
        <v/>
      </c>
      <c r="G43" s="6" t="str">
        <f t="shared" si="3"/>
        <v/>
      </c>
    </row>
    <row r="44" spans="1:7" x14ac:dyDescent="0.3">
      <c r="A44" s="3" t="s">
        <v>44</v>
      </c>
      <c r="B44" s="4"/>
      <c r="C44" s="5">
        <f>200</f>
        <v>200</v>
      </c>
      <c r="D44" s="5">
        <f t="shared" si="0"/>
        <v>-200</v>
      </c>
      <c r="E44" s="5">
        <f t="shared" si="1"/>
        <v>200</v>
      </c>
      <c r="F44" s="6">
        <f t="shared" si="2"/>
        <v>0</v>
      </c>
      <c r="G44" s="6">
        <f t="shared" si="3"/>
        <v>1</v>
      </c>
    </row>
    <row r="45" spans="1:7" x14ac:dyDescent="0.3">
      <c r="A45" s="3" t="s">
        <v>45</v>
      </c>
      <c r="B45" s="5">
        <f>1559.31</f>
        <v>1559.31</v>
      </c>
      <c r="C45" s="5">
        <f>5700</f>
        <v>5700</v>
      </c>
      <c r="D45" s="5">
        <f t="shared" si="0"/>
        <v>-4140.6900000000005</v>
      </c>
      <c r="E45" s="5">
        <f t="shared" si="1"/>
        <v>4140.6900000000005</v>
      </c>
      <c r="F45" s="6">
        <f t="shared" si="2"/>
        <v>0.27356315789473684</v>
      </c>
      <c r="G45" s="6">
        <f t="shared" si="3"/>
        <v>0.72643684210526327</v>
      </c>
    </row>
    <row r="46" spans="1:7" x14ac:dyDescent="0.3">
      <c r="A46" s="3" t="s">
        <v>46</v>
      </c>
      <c r="B46" s="7">
        <f>((B43)+(B44))+(B45)</f>
        <v>1708.34</v>
      </c>
      <c r="C46" s="7">
        <f>((C43)+(C44))+(C45)</f>
        <v>5900</v>
      </c>
      <c r="D46" s="7">
        <f t="shared" si="0"/>
        <v>-4191.66</v>
      </c>
      <c r="E46" s="7">
        <f t="shared" si="1"/>
        <v>4191.66</v>
      </c>
      <c r="F46" s="8">
        <f t="shared" si="2"/>
        <v>0.28954915254237285</v>
      </c>
      <c r="G46" s="8">
        <f t="shared" si="3"/>
        <v>0.7104508474576271</v>
      </c>
    </row>
    <row r="47" spans="1:7" x14ac:dyDescent="0.3">
      <c r="A47" s="3" t="s">
        <v>47</v>
      </c>
      <c r="B47" s="4"/>
      <c r="C47" s="5">
        <f>100</f>
        <v>100</v>
      </c>
      <c r="D47" s="5">
        <f t="shared" si="0"/>
        <v>-100</v>
      </c>
      <c r="E47" s="5">
        <f t="shared" si="1"/>
        <v>100</v>
      </c>
      <c r="F47" s="6">
        <f t="shared" si="2"/>
        <v>0</v>
      </c>
      <c r="G47" s="6">
        <f t="shared" si="3"/>
        <v>1</v>
      </c>
    </row>
    <row r="48" spans="1:7" x14ac:dyDescent="0.3">
      <c r="A48" s="3" t="s">
        <v>48</v>
      </c>
      <c r="B48" s="5">
        <f>568.74</f>
        <v>568.74</v>
      </c>
      <c r="C48" s="5">
        <f>200</f>
        <v>200</v>
      </c>
      <c r="D48" s="5">
        <f t="shared" si="0"/>
        <v>368.74</v>
      </c>
      <c r="E48" s="5">
        <f t="shared" si="1"/>
        <v>-368.74</v>
      </c>
      <c r="F48" s="6">
        <f t="shared" si="2"/>
        <v>2.8437000000000001</v>
      </c>
      <c r="G48" s="6">
        <f t="shared" si="3"/>
        <v>-1.8437000000000001</v>
      </c>
    </row>
    <row r="49" spans="1:7" x14ac:dyDescent="0.3">
      <c r="A49" s="3" t="s">
        <v>49</v>
      </c>
      <c r="B49" s="5">
        <f>15123.84</f>
        <v>15123.84</v>
      </c>
      <c r="C49" s="5">
        <f>5500</f>
        <v>5500</v>
      </c>
      <c r="D49" s="5">
        <f t="shared" si="0"/>
        <v>9623.84</v>
      </c>
      <c r="E49" s="5">
        <f t="shared" si="1"/>
        <v>-9623.84</v>
      </c>
      <c r="F49" s="6">
        <f t="shared" si="2"/>
        <v>2.7497890909090907</v>
      </c>
      <c r="G49" s="6">
        <f t="shared" si="3"/>
        <v>-1.749789090909091</v>
      </c>
    </row>
    <row r="50" spans="1:7" x14ac:dyDescent="0.3">
      <c r="A50" s="3" t="s">
        <v>50</v>
      </c>
      <c r="B50" s="5">
        <f>7318.15</f>
        <v>7318.15</v>
      </c>
      <c r="C50" s="5">
        <f>3500</f>
        <v>3500</v>
      </c>
      <c r="D50" s="5">
        <f t="shared" si="0"/>
        <v>3818.1499999999996</v>
      </c>
      <c r="E50" s="5">
        <f t="shared" si="1"/>
        <v>-3818.1499999999996</v>
      </c>
      <c r="F50" s="6">
        <f t="shared" si="2"/>
        <v>2.0909</v>
      </c>
      <c r="G50" s="6">
        <f t="shared" si="3"/>
        <v>-1.0909</v>
      </c>
    </row>
    <row r="51" spans="1:7" x14ac:dyDescent="0.3">
      <c r="A51" s="3" t="s">
        <v>51</v>
      </c>
      <c r="B51" s="5">
        <f>337.91</f>
        <v>337.91</v>
      </c>
      <c r="C51" s="4"/>
      <c r="D51" s="5">
        <f t="shared" si="0"/>
        <v>337.91</v>
      </c>
      <c r="E51" s="5">
        <f t="shared" si="1"/>
        <v>-337.91</v>
      </c>
      <c r="F51" s="6" t="str">
        <f t="shared" si="2"/>
        <v/>
      </c>
      <c r="G51" s="6" t="str">
        <f t="shared" si="3"/>
        <v/>
      </c>
    </row>
    <row r="52" spans="1:7" x14ac:dyDescent="0.3">
      <c r="A52" s="3" t="s">
        <v>52</v>
      </c>
      <c r="B52" s="7">
        <f>((((((B42)+(B46))+(B47))+(B48))+(B49))+(B50))+(B51)</f>
        <v>25056.98</v>
      </c>
      <c r="C52" s="7">
        <f>((((((C42)+(C46))+(C47))+(C48))+(C49))+(C50))+(C51)</f>
        <v>15200</v>
      </c>
      <c r="D52" s="7">
        <f t="shared" si="0"/>
        <v>9856.98</v>
      </c>
      <c r="E52" s="7">
        <f t="shared" si="1"/>
        <v>-9856.98</v>
      </c>
      <c r="F52" s="8">
        <f t="shared" si="2"/>
        <v>1.6484855263157894</v>
      </c>
      <c r="G52" s="8">
        <f t="shared" si="3"/>
        <v>-0.64848552631578948</v>
      </c>
    </row>
    <row r="53" spans="1:7" x14ac:dyDescent="0.3">
      <c r="A53" s="3" t="s">
        <v>53</v>
      </c>
      <c r="B53" s="5">
        <f>20</f>
        <v>20</v>
      </c>
      <c r="C53" s="4"/>
      <c r="D53" s="5">
        <f t="shared" si="0"/>
        <v>20</v>
      </c>
      <c r="E53" s="5">
        <f t="shared" si="1"/>
        <v>-20</v>
      </c>
      <c r="F53" s="6" t="str">
        <f t="shared" si="2"/>
        <v/>
      </c>
      <c r="G53" s="6" t="str">
        <f t="shared" si="3"/>
        <v/>
      </c>
    </row>
    <row r="54" spans="1:7" x14ac:dyDescent="0.3">
      <c r="A54" s="3" t="s">
        <v>54</v>
      </c>
      <c r="B54" s="7">
        <f>(((((B12)+(B16))+(B20))+(B41))+(B52))+(B53)</f>
        <v>74450.86</v>
      </c>
      <c r="C54" s="7">
        <f>(((((C12)+(C16))+(C20))+(C41))+(C52))+(C53)</f>
        <v>47245</v>
      </c>
      <c r="D54" s="7">
        <f t="shared" si="0"/>
        <v>27205.86</v>
      </c>
      <c r="E54" s="7">
        <f t="shared" si="1"/>
        <v>-27205.86</v>
      </c>
      <c r="F54" s="8">
        <f t="shared" si="2"/>
        <v>1.5758463329452852</v>
      </c>
      <c r="G54" s="8">
        <f t="shared" si="3"/>
        <v>-0.5758463329452852</v>
      </c>
    </row>
    <row r="55" spans="1:7" x14ac:dyDescent="0.3">
      <c r="A55" s="3" t="s">
        <v>55</v>
      </c>
      <c r="B55" s="7">
        <f>(B54)-(0)</f>
        <v>74450.86</v>
      </c>
      <c r="C55" s="7">
        <f>(C54)-(0)</f>
        <v>47245</v>
      </c>
      <c r="D55" s="7">
        <f t="shared" si="0"/>
        <v>27205.86</v>
      </c>
      <c r="E55" s="7">
        <f t="shared" si="1"/>
        <v>-27205.86</v>
      </c>
      <c r="F55" s="8">
        <f t="shared" si="2"/>
        <v>1.5758463329452852</v>
      </c>
      <c r="G55" s="8">
        <f t="shared" si="3"/>
        <v>-0.5758463329452852</v>
      </c>
    </row>
    <row r="56" spans="1:7" x14ac:dyDescent="0.3">
      <c r="A56" s="3" t="s">
        <v>56</v>
      </c>
      <c r="B56" s="4"/>
      <c r="C56" s="4"/>
      <c r="D56" s="4"/>
      <c r="E56" s="4"/>
      <c r="F56" s="4"/>
      <c r="G56" s="4"/>
    </row>
    <row r="57" spans="1:7" x14ac:dyDescent="0.3">
      <c r="A57" s="3" t="s">
        <v>57</v>
      </c>
      <c r="B57" s="4"/>
      <c r="C57" s="4"/>
      <c r="D57" s="5">
        <f t="shared" ref="D57:D88" si="4">(B57)-(C57)</f>
        <v>0</v>
      </c>
      <c r="E57" s="5">
        <f t="shared" ref="E57:E88" si="5">(C57)-(B57)</f>
        <v>0</v>
      </c>
      <c r="F57" s="6" t="str">
        <f t="shared" ref="F57:F88" si="6">IF(C57=0,"",(B57)/(C57))</f>
        <v/>
      </c>
      <c r="G57" s="6" t="str">
        <f t="shared" ref="G57:G88" si="7">IF(C57=0,"",(E57)/(C57))</f>
        <v/>
      </c>
    </row>
    <row r="58" spans="1:7" x14ac:dyDescent="0.3">
      <c r="A58" s="3" t="s">
        <v>58</v>
      </c>
      <c r="B58" s="5">
        <f>0</f>
        <v>0</v>
      </c>
      <c r="C58" s="5">
        <f>50</f>
        <v>50</v>
      </c>
      <c r="D58" s="5">
        <f t="shared" si="4"/>
        <v>-50</v>
      </c>
      <c r="E58" s="5">
        <f t="shared" si="5"/>
        <v>50</v>
      </c>
      <c r="F58" s="6">
        <f t="shared" si="6"/>
        <v>0</v>
      </c>
      <c r="G58" s="6">
        <f t="shared" si="7"/>
        <v>1</v>
      </c>
    </row>
    <row r="59" spans="1:7" x14ac:dyDescent="0.3">
      <c r="A59" s="3" t="s">
        <v>59</v>
      </c>
      <c r="B59" s="5">
        <f>50</f>
        <v>50</v>
      </c>
      <c r="C59" s="5">
        <f>10</f>
        <v>10</v>
      </c>
      <c r="D59" s="5">
        <f t="shared" si="4"/>
        <v>40</v>
      </c>
      <c r="E59" s="5">
        <f t="shared" si="5"/>
        <v>-40</v>
      </c>
      <c r="F59" s="6">
        <f t="shared" si="6"/>
        <v>5</v>
      </c>
      <c r="G59" s="6">
        <f t="shared" si="7"/>
        <v>-4</v>
      </c>
    </row>
    <row r="60" spans="1:7" x14ac:dyDescent="0.3">
      <c r="A60" s="3" t="s">
        <v>60</v>
      </c>
      <c r="B60" s="5">
        <f>11.99</f>
        <v>11.99</v>
      </c>
      <c r="C60" s="5">
        <f>12</f>
        <v>12</v>
      </c>
      <c r="D60" s="5">
        <f t="shared" si="4"/>
        <v>-9.9999999999997868E-3</v>
      </c>
      <c r="E60" s="5">
        <f t="shared" si="5"/>
        <v>9.9999999999997868E-3</v>
      </c>
      <c r="F60" s="6">
        <f t="shared" si="6"/>
        <v>0.99916666666666665</v>
      </c>
      <c r="G60" s="6">
        <f t="shared" si="7"/>
        <v>8.3333333333331561E-4</v>
      </c>
    </row>
    <row r="61" spans="1:7" x14ac:dyDescent="0.3">
      <c r="A61" s="3" t="s">
        <v>61</v>
      </c>
      <c r="B61" s="5">
        <f>145</f>
        <v>145</v>
      </c>
      <c r="C61" s="5">
        <f>105</f>
        <v>105</v>
      </c>
      <c r="D61" s="5">
        <f t="shared" si="4"/>
        <v>40</v>
      </c>
      <c r="E61" s="5">
        <f t="shared" si="5"/>
        <v>-40</v>
      </c>
      <c r="F61" s="6">
        <f t="shared" si="6"/>
        <v>1.3809523809523809</v>
      </c>
      <c r="G61" s="6">
        <f t="shared" si="7"/>
        <v>-0.38095238095238093</v>
      </c>
    </row>
    <row r="62" spans="1:7" x14ac:dyDescent="0.3">
      <c r="A62" s="3" t="s">
        <v>62</v>
      </c>
      <c r="B62" s="5">
        <f>18.8</f>
        <v>18.8</v>
      </c>
      <c r="C62" s="4"/>
      <c r="D62" s="5">
        <f t="shared" si="4"/>
        <v>18.8</v>
      </c>
      <c r="E62" s="5">
        <f t="shared" si="5"/>
        <v>-18.8</v>
      </c>
      <c r="F62" s="6" t="str">
        <f t="shared" si="6"/>
        <v/>
      </c>
      <c r="G62" s="6" t="str">
        <f t="shared" si="7"/>
        <v/>
      </c>
    </row>
    <row r="63" spans="1:7" x14ac:dyDescent="0.3">
      <c r="A63" s="3" t="s">
        <v>63</v>
      </c>
      <c r="B63" s="5">
        <f>215</f>
        <v>215</v>
      </c>
      <c r="C63" s="5">
        <f>225</f>
        <v>225</v>
      </c>
      <c r="D63" s="5">
        <f t="shared" si="4"/>
        <v>-10</v>
      </c>
      <c r="E63" s="5">
        <f t="shared" si="5"/>
        <v>10</v>
      </c>
      <c r="F63" s="6">
        <f t="shared" si="6"/>
        <v>0.9555555555555556</v>
      </c>
      <c r="G63" s="6">
        <f t="shared" si="7"/>
        <v>4.4444444444444446E-2</v>
      </c>
    </row>
    <row r="64" spans="1:7" x14ac:dyDescent="0.3">
      <c r="A64" s="3" t="s">
        <v>64</v>
      </c>
      <c r="B64" s="5">
        <f>86</f>
        <v>86</v>
      </c>
      <c r="C64" s="5">
        <f>85</f>
        <v>85</v>
      </c>
      <c r="D64" s="5">
        <f t="shared" si="4"/>
        <v>1</v>
      </c>
      <c r="E64" s="5">
        <f t="shared" si="5"/>
        <v>-1</v>
      </c>
      <c r="F64" s="6">
        <f t="shared" si="6"/>
        <v>1.0117647058823529</v>
      </c>
      <c r="G64" s="6">
        <f t="shared" si="7"/>
        <v>-1.1764705882352941E-2</v>
      </c>
    </row>
    <row r="65" spans="1:7" x14ac:dyDescent="0.3">
      <c r="A65" s="3" t="s">
        <v>65</v>
      </c>
      <c r="B65" s="4"/>
      <c r="C65" s="5">
        <f>15</f>
        <v>15</v>
      </c>
      <c r="D65" s="5">
        <f t="shared" si="4"/>
        <v>-15</v>
      </c>
      <c r="E65" s="5">
        <f t="shared" si="5"/>
        <v>15</v>
      </c>
      <c r="F65" s="6">
        <f t="shared" si="6"/>
        <v>0</v>
      </c>
      <c r="G65" s="6">
        <f t="shared" si="7"/>
        <v>1</v>
      </c>
    </row>
    <row r="66" spans="1:7" x14ac:dyDescent="0.3">
      <c r="A66" s="3" t="s">
        <v>66</v>
      </c>
      <c r="B66" s="5">
        <f>64.39</f>
        <v>64.39</v>
      </c>
      <c r="C66" s="5">
        <f>25</f>
        <v>25</v>
      </c>
      <c r="D66" s="5">
        <f t="shared" si="4"/>
        <v>39.39</v>
      </c>
      <c r="E66" s="5">
        <f t="shared" si="5"/>
        <v>-39.39</v>
      </c>
      <c r="F66" s="6">
        <f t="shared" si="6"/>
        <v>2.5756000000000001</v>
      </c>
      <c r="G66" s="6">
        <f t="shared" si="7"/>
        <v>-1.5756000000000001</v>
      </c>
    </row>
    <row r="67" spans="1:7" x14ac:dyDescent="0.3">
      <c r="A67" s="3" t="s">
        <v>67</v>
      </c>
      <c r="B67" s="7">
        <f>((((B62)+(B63))+(B64))+(B65))+(B66)</f>
        <v>384.19</v>
      </c>
      <c r="C67" s="7">
        <f>((((C62)+(C63))+(C64))+(C65))+(C66)</f>
        <v>350</v>
      </c>
      <c r="D67" s="7">
        <f t="shared" si="4"/>
        <v>34.19</v>
      </c>
      <c r="E67" s="7">
        <f t="shared" si="5"/>
        <v>-34.19</v>
      </c>
      <c r="F67" s="8">
        <f t="shared" si="6"/>
        <v>1.0976857142857144</v>
      </c>
      <c r="G67" s="8">
        <f t="shared" si="7"/>
        <v>-9.7685714285714279E-2</v>
      </c>
    </row>
    <row r="68" spans="1:7" x14ac:dyDescent="0.3">
      <c r="A68" s="3" t="s">
        <v>68</v>
      </c>
      <c r="B68" s="7">
        <f>(((((B57)+(B58))+(B59))+(B60))+(B61))+(B67)</f>
        <v>591.18000000000006</v>
      </c>
      <c r="C68" s="7">
        <f>(((((C57)+(C58))+(C59))+(C60))+(C61))+(C67)</f>
        <v>527</v>
      </c>
      <c r="D68" s="7">
        <f t="shared" si="4"/>
        <v>64.180000000000064</v>
      </c>
      <c r="E68" s="7">
        <f t="shared" si="5"/>
        <v>-64.180000000000064</v>
      </c>
      <c r="F68" s="8">
        <f t="shared" si="6"/>
        <v>1.1217836812144213</v>
      </c>
      <c r="G68" s="8">
        <f t="shared" si="7"/>
        <v>-0.12178368121442137</v>
      </c>
    </row>
    <row r="69" spans="1:7" x14ac:dyDescent="0.3">
      <c r="A69" s="3" t="s">
        <v>69</v>
      </c>
      <c r="B69" s="4"/>
      <c r="C69" s="4"/>
      <c r="D69" s="5">
        <f t="shared" si="4"/>
        <v>0</v>
      </c>
      <c r="E69" s="5">
        <f t="shared" si="5"/>
        <v>0</v>
      </c>
      <c r="F69" s="6" t="str">
        <f t="shared" si="6"/>
        <v/>
      </c>
      <c r="G69" s="6" t="str">
        <f t="shared" si="7"/>
        <v/>
      </c>
    </row>
    <row r="70" spans="1:7" x14ac:dyDescent="0.3">
      <c r="A70" s="3" t="s">
        <v>70</v>
      </c>
      <c r="B70" s="5">
        <f>7298.38</f>
        <v>7298.38</v>
      </c>
      <c r="C70" s="5">
        <f>7100</f>
        <v>7100</v>
      </c>
      <c r="D70" s="5">
        <f t="shared" si="4"/>
        <v>198.38000000000011</v>
      </c>
      <c r="E70" s="5">
        <f t="shared" si="5"/>
        <v>-198.38000000000011</v>
      </c>
      <c r="F70" s="6">
        <f t="shared" si="6"/>
        <v>1.0279408450704226</v>
      </c>
      <c r="G70" s="6">
        <f t="shared" si="7"/>
        <v>-2.7940845070422552E-2</v>
      </c>
    </row>
    <row r="71" spans="1:7" x14ac:dyDescent="0.3">
      <c r="A71" s="3" t="s">
        <v>71</v>
      </c>
      <c r="B71" s="7">
        <f>(B69)+(B70)</f>
        <v>7298.38</v>
      </c>
      <c r="C71" s="7">
        <f>(C69)+(C70)</f>
        <v>7100</v>
      </c>
      <c r="D71" s="7">
        <f t="shared" si="4"/>
        <v>198.38000000000011</v>
      </c>
      <c r="E71" s="7">
        <f t="shared" si="5"/>
        <v>-198.38000000000011</v>
      </c>
      <c r="F71" s="8">
        <f t="shared" si="6"/>
        <v>1.0279408450704226</v>
      </c>
      <c r="G71" s="8">
        <f t="shared" si="7"/>
        <v>-2.7940845070422552E-2</v>
      </c>
    </row>
    <row r="72" spans="1:7" x14ac:dyDescent="0.3">
      <c r="A72" s="3" t="s">
        <v>72</v>
      </c>
      <c r="B72" s="4"/>
      <c r="C72" s="4"/>
      <c r="D72" s="5">
        <f t="shared" si="4"/>
        <v>0</v>
      </c>
      <c r="E72" s="5">
        <f t="shared" si="5"/>
        <v>0</v>
      </c>
      <c r="F72" s="6" t="str">
        <f t="shared" si="6"/>
        <v/>
      </c>
      <c r="G72" s="6" t="str">
        <f t="shared" si="7"/>
        <v/>
      </c>
    </row>
    <row r="73" spans="1:7" x14ac:dyDescent="0.3">
      <c r="A73" s="3" t="s">
        <v>73</v>
      </c>
      <c r="B73" s="5">
        <f>1845</f>
        <v>1845</v>
      </c>
      <c r="C73" s="5">
        <f>1800</f>
        <v>1800</v>
      </c>
      <c r="D73" s="5">
        <f t="shared" si="4"/>
        <v>45</v>
      </c>
      <c r="E73" s="5">
        <f t="shared" si="5"/>
        <v>-45</v>
      </c>
      <c r="F73" s="6">
        <f t="shared" si="6"/>
        <v>1.0249999999999999</v>
      </c>
      <c r="G73" s="6">
        <f t="shared" si="7"/>
        <v>-2.5000000000000001E-2</v>
      </c>
    </row>
    <row r="74" spans="1:7" x14ac:dyDescent="0.3">
      <c r="A74" s="3" t="s">
        <v>74</v>
      </c>
      <c r="B74" s="5">
        <f>807.09</f>
        <v>807.09</v>
      </c>
      <c r="C74" s="5">
        <f>789</f>
        <v>789</v>
      </c>
      <c r="D74" s="5">
        <f t="shared" si="4"/>
        <v>18.090000000000032</v>
      </c>
      <c r="E74" s="5">
        <f t="shared" si="5"/>
        <v>-18.090000000000032</v>
      </c>
      <c r="F74" s="6">
        <f t="shared" si="6"/>
        <v>1.0229277566539925</v>
      </c>
      <c r="G74" s="6">
        <f t="shared" si="7"/>
        <v>-2.2927756653992437E-2</v>
      </c>
    </row>
    <row r="75" spans="1:7" x14ac:dyDescent="0.3">
      <c r="A75" s="3" t="s">
        <v>75</v>
      </c>
      <c r="B75" s="7">
        <f>((B72)+(B73))+(B74)</f>
        <v>2652.09</v>
      </c>
      <c r="C75" s="7">
        <f>((C72)+(C73))+(C74)</f>
        <v>2589</v>
      </c>
      <c r="D75" s="7">
        <f t="shared" si="4"/>
        <v>63.090000000000146</v>
      </c>
      <c r="E75" s="7">
        <f t="shared" si="5"/>
        <v>-63.090000000000146</v>
      </c>
      <c r="F75" s="8">
        <f t="shared" si="6"/>
        <v>1.0243684820393975</v>
      </c>
      <c r="G75" s="8">
        <f t="shared" si="7"/>
        <v>-2.4368482039397506E-2</v>
      </c>
    </row>
    <row r="76" spans="1:7" x14ac:dyDescent="0.3">
      <c r="A76" s="3" t="s">
        <v>76</v>
      </c>
      <c r="B76" s="4"/>
      <c r="C76" s="4"/>
      <c r="D76" s="5">
        <f t="shared" si="4"/>
        <v>0</v>
      </c>
      <c r="E76" s="5">
        <f t="shared" si="5"/>
        <v>0</v>
      </c>
      <c r="F76" s="6" t="str">
        <f t="shared" si="6"/>
        <v/>
      </c>
      <c r="G76" s="6" t="str">
        <f t="shared" si="7"/>
        <v/>
      </c>
    </row>
    <row r="77" spans="1:7" x14ac:dyDescent="0.3">
      <c r="A77" s="3" t="s">
        <v>77</v>
      </c>
      <c r="B77" s="5">
        <f>40.47</f>
        <v>40.47</v>
      </c>
      <c r="C77" s="5">
        <f>350</f>
        <v>350</v>
      </c>
      <c r="D77" s="5">
        <f t="shared" si="4"/>
        <v>-309.52999999999997</v>
      </c>
      <c r="E77" s="5">
        <f t="shared" si="5"/>
        <v>309.52999999999997</v>
      </c>
      <c r="F77" s="6">
        <f t="shared" si="6"/>
        <v>0.11562857142857143</v>
      </c>
      <c r="G77" s="6">
        <f t="shared" si="7"/>
        <v>0.88437142857142848</v>
      </c>
    </row>
    <row r="78" spans="1:7" x14ac:dyDescent="0.3">
      <c r="A78" s="3" t="s">
        <v>78</v>
      </c>
      <c r="B78" s="4"/>
      <c r="C78" s="4"/>
      <c r="D78" s="5">
        <f t="shared" si="4"/>
        <v>0</v>
      </c>
      <c r="E78" s="5">
        <f t="shared" si="5"/>
        <v>0</v>
      </c>
      <c r="F78" s="6" t="str">
        <f t="shared" si="6"/>
        <v/>
      </c>
      <c r="G78" s="6" t="str">
        <f t="shared" si="7"/>
        <v/>
      </c>
    </row>
    <row r="79" spans="1:7" x14ac:dyDescent="0.3">
      <c r="A79" s="3" t="s">
        <v>79</v>
      </c>
      <c r="B79" s="5">
        <f>280.09</f>
        <v>280.08999999999997</v>
      </c>
      <c r="C79" s="5">
        <f>1200</f>
        <v>1200</v>
      </c>
      <c r="D79" s="5">
        <f t="shared" si="4"/>
        <v>-919.91000000000008</v>
      </c>
      <c r="E79" s="5">
        <f t="shared" si="5"/>
        <v>919.91000000000008</v>
      </c>
      <c r="F79" s="6">
        <f t="shared" si="6"/>
        <v>0.2334083333333333</v>
      </c>
      <c r="G79" s="6">
        <f t="shared" si="7"/>
        <v>0.76659166666666678</v>
      </c>
    </row>
    <row r="80" spans="1:7" x14ac:dyDescent="0.3">
      <c r="A80" s="3" t="s">
        <v>80</v>
      </c>
      <c r="B80" s="4"/>
      <c r="C80" s="5">
        <f>150</f>
        <v>150</v>
      </c>
      <c r="D80" s="5">
        <f t="shared" si="4"/>
        <v>-150</v>
      </c>
      <c r="E80" s="5">
        <f t="shared" si="5"/>
        <v>150</v>
      </c>
      <c r="F80" s="6">
        <f t="shared" si="6"/>
        <v>0</v>
      </c>
      <c r="G80" s="6">
        <f t="shared" si="7"/>
        <v>1</v>
      </c>
    </row>
    <row r="81" spans="1:7" x14ac:dyDescent="0.3">
      <c r="A81" s="3" t="s">
        <v>81</v>
      </c>
      <c r="B81" s="7">
        <f>((B78)+(B79))+(B80)</f>
        <v>280.08999999999997</v>
      </c>
      <c r="C81" s="7">
        <f>((C78)+(C79))+(C80)</f>
        <v>1350</v>
      </c>
      <c r="D81" s="7">
        <f t="shared" si="4"/>
        <v>-1069.9100000000001</v>
      </c>
      <c r="E81" s="7">
        <f t="shared" si="5"/>
        <v>1069.9100000000001</v>
      </c>
      <c r="F81" s="8">
        <f t="shared" si="6"/>
        <v>0.20747407407407406</v>
      </c>
      <c r="G81" s="8">
        <f t="shared" si="7"/>
        <v>0.79252592592592597</v>
      </c>
    </row>
    <row r="82" spans="1:7" x14ac:dyDescent="0.3">
      <c r="A82" s="3" t="s">
        <v>82</v>
      </c>
      <c r="B82" s="5">
        <f>24.98</f>
        <v>24.98</v>
      </c>
      <c r="C82" s="5">
        <f>175</f>
        <v>175</v>
      </c>
      <c r="D82" s="5">
        <f t="shared" si="4"/>
        <v>-150.02000000000001</v>
      </c>
      <c r="E82" s="5">
        <f t="shared" si="5"/>
        <v>150.02000000000001</v>
      </c>
      <c r="F82" s="6">
        <f t="shared" si="6"/>
        <v>0.14274285714285714</v>
      </c>
      <c r="G82" s="6">
        <f t="shared" si="7"/>
        <v>0.85725714285714294</v>
      </c>
    </row>
    <row r="83" spans="1:7" x14ac:dyDescent="0.3">
      <c r="A83" s="3" t="s">
        <v>83</v>
      </c>
      <c r="B83" s="5">
        <f>131.5</f>
        <v>131.5</v>
      </c>
      <c r="C83" s="5">
        <f>400</f>
        <v>400</v>
      </c>
      <c r="D83" s="5">
        <f t="shared" si="4"/>
        <v>-268.5</v>
      </c>
      <c r="E83" s="5">
        <f t="shared" si="5"/>
        <v>268.5</v>
      </c>
      <c r="F83" s="6">
        <f t="shared" si="6"/>
        <v>0.32874999999999999</v>
      </c>
      <c r="G83" s="6">
        <f t="shared" si="7"/>
        <v>0.67125000000000001</v>
      </c>
    </row>
    <row r="84" spans="1:7" x14ac:dyDescent="0.3">
      <c r="A84" s="3" t="s">
        <v>84</v>
      </c>
      <c r="B84" s="5">
        <f>122.5</f>
        <v>122.5</v>
      </c>
      <c r="C84" s="5">
        <f>475</f>
        <v>475</v>
      </c>
      <c r="D84" s="5">
        <f t="shared" si="4"/>
        <v>-352.5</v>
      </c>
      <c r="E84" s="5">
        <f t="shared" si="5"/>
        <v>352.5</v>
      </c>
      <c r="F84" s="6">
        <f t="shared" si="6"/>
        <v>0.25789473684210529</v>
      </c>
      <c r="G84" s="6">
        <f t="shared" si="7"/>
        <v>0.74210526315789471</v>
      </c>
    </row>
    <row r="85" spans="1:7" x14ac:dyDescent="0.3">
      <c r="A85" s="3" t="s">
        <v>85</v>
      </c>
      <c r="B85" s="5">
        <f>1000</f>
        <v>1000</v>
      </c>
      <c r="C85" s="4"/>
      <c r="D85" s="5">
        <f t="shared" si="4"/>
        <v>1000</v>
      </c>
      <c r="E85" s="5">
        <f t="shared" si="5"/>
        <v>-1000</v>
      </c>
      <c r="F85" s="6" t="str">
        <f t="shared" si="6"/>
        <v/>
      </c>
      <c r="G85" s="6" t="str">
        <f t="shared" si="7"/>
        <v/>
      </c>
    </row>
    <row r="86" spans="1:7" x14ac:dyDescent="0.3">
      <c r="A86" s="3" t="s">
        <v>86</v>
      </c>
      <c r="B86" s="5">
        <f>879.88</f>
        <v>879.88</v>
      </c>
      <c r="C86" s="5">
        <f>2000</f>
        <v>2000</v>
      </c>
      <c r="D86" s="5">
        <f t="shared" si="4"/>
        <v>-1120.1199999999999</v>
      </c>
      <c r="E86" s="5">
        <f t="shared" si="5"/>
        <v>1120.1199999999999</v>
      </c>
      <c r="F86" s="6">
        <f t="shared" si="6"/>
        <v>0.43994</v>
      </c>
      <c r="G86" s="6">
        <f t="shared" si="7"/>
        <v>0.56005999999999989</v>
      </c>
    </row>
    <row r="87" spans="1:7" x14ac:dyDescent="0.3">
      <c r="A87" s="3" t="s">
        <v>87</v>
      </c>
      <c r="B87" s="5">
        <f>50</f>
        <v>50</v>
      </c>
      <c r="C87" s="5">
        <f>125</f>
        <v>125</v>
      </c>
      <c r="D87" s="5">
        <f t="shared" si="4"/>
        <v>-75</v>
      </c>
      <c r="E87" s="5">
        <f t="shared" si="5"/>
        <v>75</v>
      </c>
      <c r="F87" s="6">
        <f t="shared" si="6"/>
        <v>0.4</v>
      </c>
      <c r="G87" s="6">
        <f t="shared" si="7"/>
        <v>0.6</v>
      </c>
    </row>
    <row r="88" spans="1:7" x14ac:dyDescent="0.3">
      <c r="A88" s="3" t="s">
        <v>88</v>
      </c>
      <c r="B88" s="5">
        <f>388.63</f>
        <v>388.63</v>
      </c>
      <c r="C88" s="5">
        <f>150</f>
        <v>150</v>
      </c>
      <c r="D88" s="5">
        <f t="shared" si="4"/>
        <v>238.63</v>
      </c>
      <c r="E88" s="5">
        <f t="shared" si="5"/>
        <v>-238.63</v>
      </c>
      <c r="F88" s="6">
        <f t="shared" si="6"/>
        <v>2.5908666666666664</v>
      </c>
      <c r="G88" s="6">
        <f t="shared" si="7"/>
        <v>-1.5908666666666667</v>
      </c>
    </row>
    <row r="89" spans="1:7" x14ac:dyDescent="0.3">
      <c r="A89" s="3" t="s">
        <v>89</v>
      </c>
      <c r="B89" s="5">
        <f>5309.87</f>
        <v>5309.87</v>
      </c>
      <c r="C89" s="5">
        <f>9025</f>
        <v>9025</v>
      </c>
      <c r="D89" s="5">
        <f t="shared" ref="D89:D120" si="8">(B89)-(C89)</f>
        <v>-3715.13</v>
      </c>
      <c r="E89" s="5">
        <f t="shared" ref="E89:E125" si="9">(C89)-(B89)</f>
        <v>3715.13</v>
      </c>
      <c r="F89" s="6">
        <f t="shared" ref="F89:F125" si="10">IF(C89=0,"",(B89)/(C89))</f>
        <v>0.58835124653739612</v>
      </c>
      <c r="G89" s="6">
        <f t="shared" ref="G89:G125" si="11">IF(C89=0,"",(E89)/(C89))</f>
        <v>0.41164875346260388</v>
      </c>
    </row>
    <row r="90" spans="1:7" x14ac:dyDescent="0.3">
      <c r="A90" s="3" t="s">
        <v>90</v>
      </c>
      <c r="B90" s="4"/>
      <c r="C90" s="5">
        <f>300</f>
        <v>300</v>
      </c>
      <c r="D90" s="5">
        <f t="shared" si="8"/>
        <v>-300</v>
      </c>
      <c r="E90" s="5">
        <f t="shared" si="9"/>
        <v>300</v>
      </c>
      <c r="F90" s="6">
        <f t="shared" si="10"/>
        <v>0</v>
      </c>
      <c r="G90" s="6">
        <f t="shared" si="11"/>
        <v>1</v>
      </c>
    </row>
    <row r="91" spans="1:7" x14ac:dyDescent="0.3">
      <c r="A91" s="3" t="s">
        <v>91</v>
      </c>
      <c r="B91" s="5">
        <f>50.29</f>
        <v>50.29</v>
      </c>
      <c r="C91" s="5">
        <f>1975</f>
        <v>1975</v>
      </c>
      <c r="D91" s="5">
        <f t="shared" si="8"/>
        <v>-1924.71</v>
      </c>
      <c r="E91" s="5">
        <f t="shared" si="9"/>
        <v>1924.71</v>
      </c>
      <c r="F91" s="6">
        <f t="shared" si="10"/>
        <v>2.5463291139240507E-2</v>
      </c>
      <c r="G91" s="6">
        <f t="shared" si="11"/>
        <v>0.97453670886075949</v>
      </c>
    </row>
    <row r="92" spans="1:7" x14ac:dyDescent="0.3">
      <c r="A92" s="3" t="s">
        <v>92</v>
      </c>
      <c r="B92" s="5">
        <f>74</f>
        <v>74</v>
      </c>
      <c r="C92" s="4"/>
      <c r="D92" s="5">
        <f t="shared" si="8"/>
        <v>74</v>
      </c>
      <c r="E92" s="5">
        <f t="shared" si="9"/>
        <v>-74</v>
      </c>
      <c r="F92" s="6" t="str">
        <f t="shared" si="10"/>
        <v/>
      </c>
      <c r="G92" s="6" t="str">
        <f t="shared" si="11"/>
        <v/>
      </c>
    </row>
    <row r="93" spans="1:7" x14ac:dyDescent="0.3">
      <c r="A93" s="3" t="s">
        <v>93</v>
      </c>
      <c r="B93" s="7">
        <f>(((((((((((((B76)+(B77))+(B81))+(B82))+(B83))+(B84))+(B85))+(B86))+(B87))+(B88))+(B89))+(B90))+(B91))+(B92)</f>
        <v>8352.2100000000009</v>
      </c>
      <c r="C93" s="7">
        <f>(((((((((((((C76)+(C77))+(C81))+(C82))+(C83))+(C84))+(C85))+(C86))+(C87))+(C88))+(C89))+(C90))+(C91))+(C92)</f>
        <v>16325</v>
      </c>
      <c r="D93" s="7">
        <f t="shared" si="8"/>
        <v>-7972.7899999999991</v>
      </c>
      <c r="E93" s="7">
        <f t="shared" si="9"/>
        <v>7972.7899999999991</v>
      </c>
      <c r="F93" s="8">
        <f t="shared" si="10"/>
        <v>0.51162082695252686</v>
      </c>
      <c r="G93" s="8">
        <f t="shared" si="11"/>
        <v>0.48837917304747314</v>
      </c>
    </row>
    <row r="94" spans="1:7" x14ac:dyDescent="0.3">
      <c r="A94" s="3" t="s">
        <v>94</v>
      </c>
      <c r="B94" s="5">
        <f>540.64</f>
        <v>540.64</v>
      </c>
      <c r="C94" s="4"/>
      <c r="D94" s="5">
        <f t="shared" si="8"/>
        <v>540.64</v>
      </c>
      <c r="E94" s="5">
        <f t="shared" si="9"/>
        <v>-540.64</v>
      </c>
      <c r="F94" s="6" t="str">
        <f t="shared" si="10"/>
        <v/>
      </c>
      <c r="G94" s="6" t="str">
        <f t="shared" si="11"/>
        <v/>
      </c>
    </row>
    <row r="95" spans="1:7" x14ac:dyDescent="0.3">
      <c r="A95" s="3" t="s">
        <v>95</v>
      </c>
      <c r="B95" s="4"/>
      <c r="C95" s="4"/>
      <c r="D95" s="5">
        <f t="shared" si="8"/>
        <v>0</v>
      </c>
      <c r="E95" s="5">
        <f t="shared" si="9"/>
        <v>0</v>
      </c>
      <c r="F95" s="6" t="str">
        <f t="shared" si="10"/>
        <v/>
      </c>
      <c r="G95" s="6" t="str">
        <f t="shared" si="11"/>
        <v/>
      </c>
    </row>
    <row r="96" spans="1:7" x14ac:dyDescent="0.3">
      <c r="A96" s="3" t="s">
        <v>96</v>
      </c>
      <c r="B96" s="5">
        <f>169.65</f>
        <v>169.65</v>
      </c>
      <c r="C96" s="4"/>
      <c r="D96" s="5">
        <f t="shared" si="8"/>
        <v>169.65</v>
      </c>
      <c r="E96" s="5">
        <f t="shared" si="9"/>
        <v>-169.65</v>
      </c>
      <c r="F96" s="6" t="str">
        <f t="shared" si="10"/>
        <v/>
      </c>
      <c r="G96" s="6" t="str">
        <f t="shared" si="11"/>
        <v/>
      </c>
    </row>
    <row r="97" spans="1:7" x14ac:dyDescent="0.3">
      <c r="A97" s="3" t="s">
        <v>97</v>
      </c>
      <c r="B97" s="4"/>
      <c r="C97" s="5">
        <f>200</f>
        <v>200</v>
      </c>
      <c r="D97" s="5">
        <f t="shared" si="8"/>
        <v>-200</v>
      </c>
      <c r="E97" s="5">
        <f t="shared" si="9"/>
        <v>200</v>
      </c>
      <c r="F97" s="6">
        <f t="shared" si="10"/>
        <v>0</v>
      </c>
      <c r="G97" s="6">
        <f t="shared" si="11"/>
        <v>1</v>
      </c>
    </row>
    <row r="98" spans="1:7" x14ac:dyDescent="0.3">
      <c r="A98" s="3" t="s">
        <v>98</v>
      </c>
      <c r="B98" s="5">
        <f>1451.31</f>
        <v>1451.31</v>
      </c>
      <c r="C98" s="5">
        <f>5700</f>
        <v>5700</v>
      </c>
      <c r="D98" s="5">
        <f t="shared" si="8"/>
        <v>-4248.6900000000005</v>
      </c>
      <c r="E98" s="5">
        <f t="shared" si="9"/>
        <v>4248.6900000000005</v>
      </c>
      <c r="F98" s="6">
        <f t="shared" si="10"/>
        <v>0.25461578947368418</v>
      </c>
      <c r="G98" s="6">
        <f t="shared" si="11"/>
        <v>0.74538421052631587</v>
      </c>
    </row>
    <row r="99" spans="1:7" x14ac:dyDescent="0.3">
      <c r="A99" s="3" t="s">
        <v>99</v>
      </c>
      <c r="B99" s="7">
        <f>((B96)+(B97))+(B98)</f>
        <v>1620.96</v>
      </c>
      <c r="C99" s="7">
        <f>((C96)+(C97))+(C98)</f>
        <v>5900</v>
      </c>
      <c r="D99" s="7">
        <f t="shared" si="8"/>
        <v>-4279.04</v>
      </c>
      <c r="E99" s="7">
        <f t="shared" si="9"/>
        <v>4279.04</v>
      </c>
      <c r="F99" s="8">
        <f t="shared" si="10"/>
        <v>0.27473898305084749</v>
      </c>
      <c r="G99" s="8">
        <f t="shared" si="11"/>
        <v>0.72526101694915257</v>
      </c>
    </row>
    <row r="100" spans="1:7" x14ac:dyDescent="0.3">
      <c r="A100" s="3" t="s">
        <v>100</v>
      </c>
      <c r="B100" s="4"/>
      <c r="C100" s="5">
        <f>100</f>
        <v>100</v>
      </c>
      <c r="D100" s="5">
        <f t="shared" si="8"/>
        <v>-100</v>
      </c>
      <c r="E100" s="5">
        <f t="shared" si="9"/>
        <v>100</v>
      </c>
      <c r="F100" s="6">
        <f t="shared" si="10"/>
        <v>0</v>
      </c>
      <c r="G100" s="6">
        <f t="shared" si="11"/>
        <v>1</v>
      </c>
    </row>
    <row r="101" spans="1:7" x14ac:dyDescent="0.3">
      <c r="A101" s="3" t="s">
        <v>101</v>
      </c>
      <c r="B101" s="5">
        <f>568.74</f>
        <v>568.74</v>
      </c>
      <c r="C101" s="5">
        <f>200</f>
        <v>200</v>
      </c>
      <c r="D101" s="5">
        <f t="shared" si="8"/>
        <v>368.74</v>
      </c>
      <c r="E101" s="5">
        <f t="shared" si="9"/>
        <v>-368.74</v>
      </c>
      <c r="F101" s="6">
        <f t="shared" si="10"/>
        <v>2.8437000000000001</v>
      </c>
      <c r="G101" s="6">
        <f t="shared" si="11"/>
        <v>-1.8437000000000001</v>
      </c>
    </row>
    <row r="102" spans="1:7" x14ac:dyDescent="0.3">
      <c r="A102" s="3" t="s">
        <v>102</v>
      </c>
      <c r="B102" s="5">
        <f>15054.22</f>
        <v>15054.22</v>
      </c>
      <c r="C102" s="5">
        <f>5500</f>
        <v>5500</v>
      </c>
      <c r="D102" s="5">
        <f t="shared" si="8"/>
        <v>9554.2199999999993</v>
      </c>
      <c r="E102" s="5">
        <f t="shared" si="9"/>
        <v>-9554.2199999999993</v>
      </c>
      <c r="F102" s="6">
        <f t="shared" si="10"/>
        <v>2.7371309090909088</v>
      </c>
      <c r="G102" s="6">
        <f t="shared" si="11"/>
        <v>-1.7371309090909091</v>
      </c>
    </row>
    <row r="103" spans="1:7" x14ac:dyDescent="0.3">
      <c r="A103" s="3" t="s">
        <v>103</v>
      </c>
      <c r="B103" s="5">
        <f>7475.15</f>
        <v>7475.15</v>
      </c>
      <c r="C103" s="5">
        <f>3500</f>
        <v>3500</v>
      </c>
      <c r="D103" s="5">
        <f t="shared" si="8"/>
        <v>3975.1499999999996</v>
      </c>
      <c r="E103" s="5">
        <f t="shared" si="9"/>
        <v>-3975.1499999999996</v>
      </c>
      <c r="F103" s="6">
        <f t="shared" si="10"/>
        <v>2.1357571428571429</v>
      </c>
      <c r="G103" s="6">
        <f t="shared" si="11"/>
        <v>-1.1357571428571427</v>
      </c>
    </row>
    <row r="104" spans="1:7" x14ac:dyDescent="0.3">
      <c r="A104" s="3" t="s">
        <v>104</v>
      </c>
      <c r="B104" s="5">
        <f>337.91</f>
        <v>337.91</v>
      </c>
      <c r="C104" s="4"/>
      <c r="D104" s="5">
        <f t="shared" si="8"/>
        <v>337.91</v>
      </c>
      <c r="E104" s="5">
        <f t="shared" si="9"/>
        <v>-337.91</v>
      </c>
      <c r="F104" s="6" t="str">
        <f t="shared" si="10"/>
        <v/>
      </c>
      <c r="G104" s="6" t="str">
        <f t="shared" si="11"/>
        <v/>
      </c>
    </row>
    <row r="105" spans="1:7" x14ac:dyDescent="0.3">
      <c r="A105" s="3" t="s">
        <v>105</v>
      </c>
      <c r="B105" s="7">
        <f>((((((B95)+(B99))+(B100))+(B101))+(B102))+(B103))+(B104)</f>
        <v>25056.98</v>
      </c>
      <c r="C105" s="7">
        <f>((((((C95)+(C99))+(C100))+(C101))+(C102))+(C103))+(C104)</f>
        <v>15200</v>
      </c>
      <c r="D105" s="7">
        <f t="shared" si="8"/>
        <v>9856.98</v>
      </c>
      <c r="E105" s="7">
        <f t="shared" si="9"/>
        <v>-9856.98</v>
      </c>
      <c r="F105" s="8">
        <f t="shared" si="10"/>
        <v>1.6484855263157894</v>
      </c>
      <c r="G105" s="8">
        <f t="shared" si="11"/>
        <v>-0.64848552631578948</v>
      </c>
    </row>
    <row r="106" spans="1:7" x14ac:dyDescent="0.3">
      <c r="A106" s="3" t="s">
        <v>106</v>
      </c>
      <c r="B106" s="4"/>
      <c r="C106" s="4"/>
      <c r="D106" s="5">
        <f t="shared" si="8"/>
        <v>0</v>
      </c>
      <c r="E106" s="5">
        <f t="shared" si="9"/>
        <v>0</v>
      </c>
      <c r="F106" s="6" t="str">
        <f t="shared" si="10"/>
        <v/>
      </c>
      <c r="G106" s="6" t="str">
        <f t="shared" si="11"/>
        <v/>
      </c>
    </row>
    <row r="107" spans="1:7" x14ac:dyDescent="0.3">
      <c r="A107" s="3" t="s">
        <v>107</v>
      </c>
      <c r="B107" s="5">
        <f>187.37</f>
        <v>187.37</v>
      </c>
      <c r="C107" s="5">
        <f>250</f>
        <v>250</v>
      </c>
      <c r="D107" s="5">
        <f t="shared" si="8"/>
        <v>-62.629999999999995</v>
      </c>
      <c r="E107" s="5">
        <f t="shared" si="9"/>
        <v>62.629999999999995</v>
      </c>
      <c r="F107" s="6">
        <f t="shared" si="10"/>
        <v>0.74948000000000004</v>
      </c>
      <c r="G107" s="6">
        <f t="shared" si="11"/>
        <v>0.25051999999999996</v>
      </c>
    </row>
    <row r="108" spans="1:7" x14ac:dyDescent="0.3">
      <c r="A108" s="3" t="s">
        <v>108</v>
      </c>
      <c r="B108" s="5">
        <f>177.85</f>
        <v>177.85</v>
      </c>
      <c r="C108" s="5">
        <f>75</f>
        <v>75</v>
      </c>
      <c r="D108" s="5">
        <f t="shared" si="8"/>
        <v>102.85</v>
      </c>
      <c r="E108" s="5">
        <f t="shared" si="9"/>
        <v>-102.85</v>
      </c>
      <c r="F108" s="6">
        <f t="shared" si="10"/>
        <v>2.3713333333333333</v>
      </c>
      <c r="G108" s="6">
        <f t="shared" si="11"/>
        <v>-1.3713333333333333</v>
      </c>
    </row>
    <row r="109" spans="1:7" x14ac:dyDescent="0.3">
      <c r="A109" s="3" t="s">
        <v>109</v>
      </c>
      <c r="B109" s="5">
        <f>68</f>
        <v>68</v>
      </c>
      <c r="C109" s="5">
        <f>150</f>
        <v>150</v>
      </c>
      <c r="D109" s="5">
        <f t="shared" si="8"/>
        <v>-82</v>
      </c>
      <c r="E109" s="5">
        <f t="shared" si="9"/>
        <v>82</v>
      </c>
      <c r="F109" s="6">
        <f t="shared" si="10"/>
        <v>0.45333333333333331</v>
      </c>
      <c r="G109" s="6">
        <f t="shared" si="11"/>
        <v>0.54666666666666663</v>
      </c>
    </row>
    <row r="110" spans="1:7" x14ac:dyDescent="0.3">
      <c r="A110" s="3" t="s">
        <v>110</v>
      </c>
      <c r="B110" s="4"/>
      <c r="C110" s="4"/>
      <c r="D110" s="5">
        <f t="shared" si="8"/>
        <v>0</v>
      </c>
      <c r="E110" s="5">
        <f t="shared" si="9"/>
        <v>0</v>
      </c>
      <c r="F110" s="6" t="str">
        <f t="shared" si="10"/>
        <v/>
      </c>
      <c r="G110" s="6" t="str">
        <f t="shared" si="11"/>
        <v/>
      </c>
    </row>
    <row r="111" spans="1:7" x14ac:dyDescent="0.3">
      <c r="A111" s="3" t="s">
        <v>111</v>
      </c>
      <c r="B111" s="5">
        <f>671.25</f>
        <v>671.25</v>
      </c>
      <c r="C111" s="4"/>
      <c r="D111" s="5">
        <f t="shared" si="8"/>
        <v>671.25</v>
      </c>
      <c r="E111" s="5">
        <f t="shared" si="9"/>
        <v>-671.25</v>
      </c>
      <c r="F111" s="6" t="str">
        <f t="shared" si="10"/>
        <v/>
      </c>
      <c r="G111" s="6" t="str">
        <f t="shared" si="11"/>
        <v/>
      </c>
    </row>
    <row r="112" spans="1:7" x14ac:dyDescent="0.3">
      <c r="A112" s="3" t="s">
        <v>112</v>
      </c>
      <c r="B112" s="5">
        <f>140.56</f>
        <v>140.56</v>
      </c>
      <c r="C112" s="5">
        <f>100</f>
        <v>100</v>
      </c>
      <c r="D112" s="5">
        <f t="shared" si="8"/>
        <v>40.56</v>
      </c>
      <c r="E112" s="5">
        <f t="shared" si="9"/>
        <v>-40.56</v>
      </c>
      <c r="F112" s="6">
        <f t="shared" si="10"/>
        <v>1.4056</v>
      </c>
      <c r="G112" s="6">
        <f t="shared" si="11"/>
        <v>-0.40560000000000002</v>
      </c>
    </row>
    <row r="113" spans="1:7" x14ac:dyDescent="0.3">
      <c r="A113" s="3" t="s">
        <v>113</v>
      </c>
      <c r="B113" s="5">
        <f>125.95</f>
        <v>125.95</v>
      </c>
      <c r="C113" s="5">
        <f>225</f>
        <v>225</v>
      </c>
      <c r="D113" s="5">
        <f t="shared" si="8"/>
        <v>-99.05</v>
      </c>
      <c r="E113" s="5">
        <f t="shared" si="9"/>
        <v>99.05</v>
      </c>
      <c r="F113" s="6">
        <f t="shared" si="10"/>
        <v>0.55977777777777782</v>
      </c>
      <c r="G113" s="6">
        <f t="shared" si="11"/>
        <v>0.44022222222222224</v>
      </c>
    </row>
    <row r="114" spans="1:7" x14ac:dyDescent="0.3">
      <c r="A114" s="3" t="s">
        <v>114</v>
      </c>
      <c r="B114" s="5">
        <f>180.19</f>
        <v>180.19</v>
      </c>
      <c r="C114" s="5">
        <f>425</f>
        <v>425</v>
      </c>
      <c r="D114" s="5">
        <f t="shared" si="8"/>
        <v>-244.81</v>
      </c>
      <c r="E114" s="5">
        <f t="shared" si="9"/>
        <v>244.81</v>
      </c>
      <c r="F114" s="6">
        <f t="shared" si="10"/>
        <v>0.42397647058823529</v>
      </c>
      <c r="G114" s="6">
        <f t="shared" si="11"/>
        <v>0.57602352941176471</v>
      </c>
    </row>
    <row r="115" spans="1:7" x14ac:dyDescent="0.3">
      <c r="A115" s="3" t="s">
        <v>115</v>
      </c>
      <c r="B115" s="4"/>
      <c r="C115" s="5">
        <f>250</f>
        <v>250</v>
      </c>
      <c r="D115" s="5">
        <f t="shared" si="8"/>
        <v>-250</v>
      </c>
      <c r="E115" s="5">
        <f t="shared" si="9"/>
        <v>250</v>
      </c>
      <c r="F115" s="6">
        <f t="shared" si="10"/>
        <v>0</v>
      </c>
      <c r="G115" s="6">
        <f t="shared" si="11"/>
        <v>1</v>
      </c>
    </row>
    <row r="116" spans="1:7" x14ac:dyDescent="0.3">
      <c r="A116" s="3" t="s">
        <v>116</v>
      </c>
      <c r="B116" s="7">
        <f>(((((B110)+(B111))+(B112))+(B113))+(B114))+(B115)</f>
        <v>1117.95</v>
      </c>
      <c r="C116" s="7">
        <f>(((((C110)+(C111))+(C112))+(C113))+(C114))+(C115)</f>
        <v>1000</v>
      </c>
      <c r="D116" s="7">
        <f t="shared" si="8"/>
        <v>117.95000000000005</v>
      </c>
      <c r="E116" s="7">
        <f t="shared" si="9"/>
        <v>-117.95000000000005</v>
      </c>
      <c r="F116" s="8">
        <f t="shared" si="10"/>
        <v>1.11795</v>
      </c>
      <c r="G116" s="8">
        <f t="shared" si="11"/>
        <v>-0.11795000000000004</v>
      </c>
    </row>
    <row r="117" spans="1:7" x14ac:dyDescent="0.3">
      <c r="A117" s="3" t="s">
        <v>117</v>
      </c>
      <c r="B117" s="5">
        <f>499.44</f>
        <v>499.44</v>
      </c>
      <c r="C117" s="5">
        <f>100</f>
        <v>100</v>
      </c>
      <c r="D117" s="5">
        <f t="shared" si="8"/>
        <v>399.44</v>
      </c>
      <c r="E117" s="5">
        <f t="shared" si="9"/>
        <v>-399.44</v>
      </c>
      <c r="F117" s="6">
        <f t="shared" si="10"/>
        <v>4.9943999999999997</v>
      </c>
      <c r="G117" s="6">
        <f t="shared" si="11"/>
        <v>-3.9944000000000002</v>
      </c>
    </row>
    <row r="118" spans="1:7" x14ac:dyDescent="0.3">
      <c r="A118" s="3" t="s">
        <v>118</v>
      </c>
      <c r="B118" s="5">
        <f>513.24</f>
        <v>513.24</v>
      </c>
      <c r="C118" s="5">
        <f>300</f>
        <v>300</v>
      </c>
      <c r="D118" s="5">
        <f t="shared" si="8"/>
        <v>213.24</v>
      </c>
      <c r="E118" s="5">
        <f t="shared" si="9"/>
        <v>-213.24</v>
      </c>
      <c r="F118" s="6">
        <f t="shared" si="10"/>
        <v>1.7108000000000001</v>
      </c>
      <c r="G118" s="6">
        <f t="shared" si="11"/>
        <v>-0.71079999999999999</v>
      </c>
    </row>
    <row r="119" spans="1:7" x14ac:dyDescent="0.3">
      <c r="A119" s="3" t="s">
        <v>119</v>
      </c>
      <c r="B119" s="5">
        <f>500.33</f>
        <v>500.33</v>
      </c>
      <c r="C119" s="5">
        <f>450</f>
        <v>450</v>
      </c>
      <c r="D119" s="5">
        <f t="shared" si="8"/>
        <v>50.329999999999984</v>
      </c>
      <c r="E119" s="5">
        <f t="shared" si="9"/>
        <v>-50.329999999999984</v>
      </c>
      <c r="F119" s="6">
        <f t="shared" si="10"/>
        <v>1.1118444444444444</v>
      </c>
      <c r="G119" s="6">
        <f t="shared" si="11"/>
        <v>-0.11184444444444441</v>
      </c>
    </row>
    <row r="120" spans="1:7" x14ac:dyDescent="0.3">
      <c r="A120" s="3" t="s">
        <v>120</v>
      </c>
      <c r="B120" s="4"/>
      <c r="C120" s="5">
        <f>75</f>
        <v>75</v>
      </c>
      <c r="D120" s="5">
        <f t="shared" si="8"/>
        <v>-75</v>
      </c>
      <c r="E120" s="5">
        <f t="shared" si="9"/>
        <v>75</v>
      </c>
      <c r="F120" s="6">
        <f t="shared" si="10"/>
        <v>0</v>
      </c>
      <c r="G120" s="6">
        <f t="shared" si="11"/>
        <v>1</v>
      </c>
    </row>
    <row r="121" spans="1:7" x14ac:dyDescent="0.3">
      <c r="A121" s="3" t="s">
        <v>121</v>
      </c>
      <c r="B121" s="7">
        <f>((((((((B106)+(B107))+(B108))+(B109))+(B116))+(B117))+(B118))+(B119))+(B120)</f>
        <v>3064.1800000000003</v>
      </c>
      <c r="C121" s="7">
        <f>((((((((C106)+(C107))+(C108))+(C109))+(C116))+(C117))+(C118))+(C119))+(C120)</f>
        <v>2400</v>
      </c>
      <c r="D121" s="7">
        <f t="shared" ref="D121:D152" si="12">(B121)-(C121)</f>
        <v>664.18000000000029</v>
      </c>
      <c r="E121" s="7">
        <f t="shared" si="9"/>
        <v>-664.18000000000029</v>
      </c>
      <c r="F121" s="8">
        <f t="shared" si="10"/>
        <v>1.2767416666666669</v>
      </c>
      <c r="G121" s="8">
        <f t="shared" si="11"/>
        <v>-0.27674166666666677</v>
      </c>
    </row>
    <row r="122" spans="1:7" x14ac:dyDescent="0.3">
      <c r="A122" s="3" t="s">
        <v>122</v>
      </c>
      <c r="B122" s="5">
        <f>116.67</f>
        <v>116.67</v>
      </c>
      <c r="C122" s="4"/>
      <c r="D122" s="5">
        <f t="shared" si="12"/>
        <v>116.67</v>
      </c>
      <c r="E122" s="5">
        <f t="shared" si="9"/>
        <v>-116.67</v>
      </c>
      <c r="F122" s="6" t="str">
        <f t="shared" si="10"/>
        <v/>
      </c>
      <c r="G122" s="6" t="str">
        <f t="shared" si="11"/>
        <v/>
      </c>
    </row>
    <row r="123" spans="1:7" x14ac:dyDescent="0.3">
      <c r="A123" s="3" t="s">
        <v>123</v>
      </c>
      <c r="B123" s="5">
        <f>0</f>
        <v>0</v>
      </c>
      <c r="C123" s="4"/>
      <c r="D123" s="5">
        <f t="shared" si="12"/>
        <v>0</v>
      </c>
      <c r="E123" s="5">
        <f t="shared" si="9"/>
        <v>0</v>
      </c>
      <c r="F123" s="6" t="str">
        <f t="shared" si="10"/>
        <v/>
      </c>
      <c r="G123" s="6" t="str">
        <f t="shared" si="11"/>
        <v/>
      </c>
    </row>
    <row r="124" spans="1:7" x14ac:dyDescent="0.3">
      <c r="A124" s="3" t="s">
        <v>124</v>
      </c>
      <c r="B124" s="7">
        <f>((((((((B68)+(B71))+(B75))+(B93))+(B94))+(B105))+(B121))+(B122))+(B123)</f>
        <v>47672.329999999994</v>
      </c>
      <c r="C124" s="7">
        <f>((((((((C68)+(C71))+(C75))+(C93))+(C94))+(C105))+(C121))+(C122))+(C123)</f>
        <v>44141</v>
      </c>
      <c r="D124" s="7">
        <f t="shared" si="12"/>
        <v>3531.3299999999945</v>
      </c>
      <c r="E124" s="7">
        <f t="shared" si="9"/>
        <v>-3531.3299999999945</v>
      </c>
      <c r="F124" s="8">
        <f t="shared" si="10"/>
        <v>1.0800011327337395</v>
      </c>
      <c r="G124" s="8">
        <f t="shared" si="11"/>
        <v>-8.0001132733739488E-2</v>
      </c>
    </row>
    <row r="125" spans="1:7" x14ac:dyDescent="0.3">
      <c r="A125" s="3" t="s">
        <v>125</v>
      </c>
      <c r="B125" s="7">
        <f>(B55)-(B124)</f>
        <v>26778.530000000006</v>
      </c>
      <c r="C125" s="7">
        <f>(C55)-(C124)</f>
        <v>3104</v>
      </c>
      <c r="D125" s="7">
        <f t="shared" si="12"/>
        <v>23674.530000000006</v>
      </c>
      <c r="E125" s="7">
        <f t="shared" si="9"/>
        <v>-23674.530000000006</v>
      </c>
      <c r="F125" s="8">
        <f t="shared" si="10"/>
        <v>8.6271037371134032</v>
      </c>
      <c r="G125" s="8">
        <f t="shared" si="11"/>
        <v>-7.6271037371134041</v>
      </c>
    </row>
    <row r="126" spans="1:7" x14ac:dyDescent="0.3">
      <c r="A126" s="3" t="s">
        <v>126</v>
      </c>
      <c r="B126" s="4"/>
      <c r="C126" s="4"/>
      <c r="D126" s="4"/>
      <c r="E126" s="4"/>
      <c r="F126" s="4"/>
      <c r="G126" s="4"/>
    </row>
    <row r="127" spans="1:7" x14ac:dyDescent="0.3">
      <c r="A127" s="3" t="s">
        <v>127</v>
      </c>
      <c r="B127" s="5">
        <f>12.6</f>
        <v>12.6</v>
      </c>
      <c r="C127" s="5">
        <f>10</f>
        <v>10</v>
      </c>
      <c r="D127" s="5">
        <f>(B127)-(C127)</f>
        <v>2.5999999999999996</v>
      </c>
      <c r="E127" s="5">
        <f>(C127)-(B127)</f>
        <v>-2.5999999999999996</v>
      </c>
      <c r="F127" s="6">
        <f>IF(C127=0,"",(B127)/(C127))</f>
        <v>1.26</v>
      </c>
      <c r="G127" s="6">
        <f>IF(C127=0,"",(E127)/(C127))</f>
        <v>-0.25999999999999995</v>
      </c>
    </row>
    <row r="128" spans="1:7" x14ac:dyDescent="0.3">
      <c r="A128" s="3" t="s">
        <v>128</v>
      </c>
      <c r="B128" s="7">
        <f>B127</f>
        <v>12.6</v>
      </c>
      <c r="C128" s="7">
        <f>C127</f>
        <v>10</v>
      </c>
      <c r="D128" s="7">
        <f>(B128)-(C128)</f>
        <v>2.5999999999999996</v>
      </c>
      <c r="E128" s="7">
        <f>(C128)-(B128)</f>
        <v>-2.5999999999999996</v>
      </c>
      <c r="F128" s="8">
        <f>IF(C128=0,"",(B128)/(C128))</f>
        <v>1.26</v>
      </c>
      <c r="G128" s="8">
        <f>IF(C128=0,"",(E128)/(C128))</f>
        <v>-0.25999999999999995</v>
      </c>
    </row>
    <row r="129" spans="1:7" x14ac:dyDescent="0.3">
      <c r="A129" s="3" t="s">
        <v>129</v>
      </c>
      <c r="B129" s="4"/>
      <c r="C129" s="4"/>
      <c r="D129" s="4"/>
      <c r="E129" s="4"/>
      <c r="F129" s="4"/>
      <c r="G129" s="4"/>
    </row>
    <row r="130" spans="1:7" x14ac:dyDescent="0.3">
      <c r="A130" s="3" t="s">
        <v>130</v>
      </c>
      <c r="B130" s="4"/>
      <c r="C130" s="4"/>
      <c r="D130" s="5">
        <f t="shared" ref="D130:D136" si="13">(B130)-(C130)</f>
        <v>0</v>
      </c>
      <c r="E130" s="5">
        <f t="shared" ref="E130:E136" si="14">(C130)-(B130)</f>
        <v>0</v>
      </c>
      <c r="F130" s="6" t="str">
        <f t="shared" ref="F130:F136" si="15">IF(C130=0,"",(B130)/(C130))</f>
        <v/>
      </c>
      <c r="G130" s="6" t="str">
        <f t="shared" ref="G130:G136" si="16">IF(C130=0,"",(E130)/(C130))</f>
        <v/>
      </c>
    </row>
    <row r="131" spans="1:7" x14ac:dyDescent="0.3">
      <c r="A131" s="3" t="s">
        <v>131</v>
      </c>
      <c r="B131" s="5">
        <f>73.28</f>
        <v>73.28</v>
      </c>
      <c r="C131" s="5">
        <f>50</f>
        <v>50</v>
      </c>
      <c r="D131" s="5">
        <f t="shared" si="13"/>
        <v>23.28</v>
      </c>
      <c r="E131" s="5">
        <f t="shared" si="14"/>
        <v>-23.28</v>
      </c>
      <c r="F131" s="6">
        <f t="shared" si="15"/>
        <v>1.4656</v>
      </c>
      <c r="G131" s="6">
        <f t="shared" si="16"/>
        <v>-0.46560000000000001</v>
      </c>
    </row>
    <row r="132" spans="1:7" x14ac:dyDescent="0.3">
      <c r="A132" s="3" t="s">
        <v>132</v>
      </c>
      <c r="B132" s="5">
        <f>64.75</f>
        <v>64.75</v>
      </c>
      <c r="C132" s="5">
        <f>50</f>
        <v>50</v>
      </c>
      <c r="D132" s="5">
        <f t="shared" si="13"/>
        <v>14.75</v>
      </c>
      <c r="E132" s="5">
        <f t="shared" si="14"/>
        <v>-14.75</v>
      </c>
      <c r="F132" s="6">
        <f t="shared" si="15"/>
        <v>1.2949999999999999</v>
      </c>
      <c r="G132" s="6">
        <f t="shared" si="16"/>
        <v>-0.29499999999999998</v>
      </c>
    </row>
    <row r="133" spans="1:7" x14ac:dyDescent="0.3">
      <c r="A133" s="3" t="s">
        <v>133</v>
      </c>
      <c r="B133" s="7">
        <f>((B130)+(B131))+(B132)</f>
        <v>138.03</v>
      </c>
      <c r="C133" s="7">
        <f>((C130)+(C131))+(C132)</f>
        <v>100</v>
      </c>
      <c r="D133" s="7">
        <f t="shared" si="13"/>
        <v>38.03</v>
      </c>
      <c r="E133" s="7">
        <f t="shared" si="14"/>
        <v>-38.03</v>
      </c>
      <c r="F133" s="8">
        <f t="shared" si="15"/>
        <v>1.3803000000000001</v>
      </c>
      <c r="G133" s="8">
        <f t="shared" si="16"/>
        <v>-0.38030000000000003</v>
      </c>
    </row>
    <row r="134" spans="1:7" x14ac:dyDescent="0.3">
      <c r="A134" s="3" t="s">
        <v>134</v>
      </c>
      <c r="B134" s="7">
        <f>B133</f>
        <v>138.03</v>
      </c>
      <c r="C134" s="7">
        <f>C133</f>
        <v>100</v>
      </c>
      <c r="D134" s="7">
        <f t="shared" si="13"/>
        <v>38.03</v>
      </c>
      <c r="E134" s="7">
        <f t="shared" si="14"/>
        <v>-38.03</v>
      </c>
      <c r="F134" s="8">
        <f t="shared" si="15"/>
        <v>1.3803000000000001</v>
      </c>
      <c r="G134" s="8">
        <f t="shared" si="16"/>
        <v>-0.38030000000000003</v>
      </c>
    </row>
    <row r="135" spans="1:7" x14ac:dyDescent="0.3">
      <c r="A135" s="3" t="s">
        <v>135</v>
      </c>
      <c r="B135" s="7">
        <f>(B128)-(B134)</f>
        <v>-125.43</v>
      </c>
      <c r="C135" s="7">
        <f>(C128)-(C134)</f>
        <v>-90</v>
      </c>
      <c r="D135" s="7">
        <f t="shared" si="13"/>
        <v>-35.430000000000007</v>
      </c>
      <c r="E135" s="7">
        <f t="shared" si="14"/>
        <v>35.430000000000007</v>
      </c>
      <c r="F135" s="8">
        <f t="shared" si="15"/>
        <v>1.3936666666666668</v>
      </c>
      <c r="G135" s="8">
        <f t="shared" si="16"/>
        <v>-0.39366666666666672</v>
      </c>
    </row>
    <row r="136" spans="1:7" x14ac:dyDescent="0.3">
      <c r="A136" s="3" t="s">
        <v>136</v>
      </c>
      <c r="B136" s="9">
        <f>(B125)+(B135)</f>
        <v>26653.100000000006</v>
      </c>
      <c r="C136" s="9">
        <f>(C125)+(C135)</f>
        <v>3014</v>
      </c>
      <c r="D136" s="9">
        <f t="shared" si="13"/>
        <v>23639.100000000006</v>
      </c>
      <c r="E136" s="9">
        <f t="shared" si="14"/>
        <v>-23639.100000000006</v>
      </c>
      <c r="F136" s="10">
        <f t="shared" si="15"/>
        <v>8.8430988719309909</v>
      </c>
      <c r="G136" s="10">
        <f t="shared" si="16"/>
        <v>-7.8430988719309909</v>
      </c>
    </row>
    <row r="137" spans="1:7" x14ac:dyDescent="0.3">
      <c r="A137" s="3"/>
      <c r="B137" s="4"/>
      <c r="C137" s="4"/>
      <c r="D137" s="4"/>
      <c r="E137" s="4"/>
      <c r="F137" s="4"/>
      <c r="G137" s="4"/>
    </row>
    <row r="140" spans="1:7" x14ac:dyDescent="0.3">
      <c r="A140" s="13" t="s">
        <v>137</v>
      </c>
      <c r="B140" s="14"/>
      <c r="C140" s="14"/>
      <c r="D140" s="14"/>
      <c r="E140" s="14"/>
      <c r="F140" s="14"/>
      <c r="G140" s="14"/>
    </row>
  </sheetData>
  <mergeCells count="5">
    <mergeCell ref="B5:G5"/>
    <mergeCell ref="A140:G140"/>
    <mergeCell ref="A1:G1"/>
    <mergeCell ref="A2:G2"/>
    <mergeCell ref="A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vs. Actuals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FDKPDX</cp:lastModifiedBy>
  <dcterms:created xsi:type="dcterms:W3CDTF">2017-01-16T22:41:19Z</dcterms:created>
  <dcterms:modified xsi:type="dcterms:W3CDTF">2017-01-16T22:43:25Z</dcterms:modified>
</cp:coreProperties>
</file>